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3\"/>
    </mc:Choice>
  </mc:AlternateContent>
  <workbookProtection workbookAlgorithmName="SHA-512" workbookHashValue="0vUFIhWFM8Bq0w6EXqpiW9K/GB1BBIDnzUTiolqs65k1HjbP6u2tZd2BqYCz5B81jCX0bJ9oMpSIVHSkJXfC1g==" workbookSaltValue="YTwU9ARnGoYjkdvBeaS8Vw==" workbookSpinCount="100000" lockStructure="1"/>
  <bookViews>
    <workbookView xWindow="0" yWindow="0" windowWidth="19320" windowHeight="10800" tabRatio="838" firstSheet="6" activeTab="9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  <sheet name="Розшифровка статутний" sheetId="25" r:id="rId13"/>
    <sheet name="кредити" sheetId="26" r:id="rId14"/>
    <sheet name="Аналіз" sheetId="2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[7]Inform!$E$6</definedName>
    <definedName name="ClDate_21">[8]Inform!$E$6</definedName>
    <definedName name="ClDate_25">[8]Inform!$E$6</definedName>
    <definedName name="ClDate_6" localSheetId="14">[9]Inform!$E$6</definedName>
    <definedName name="ClDate_6">[10]Inform!$E$6</definedName>
    <definedName name="CompName" localSheetId="14">[6]Inform!$F$2</definedName>
    <definedName name="CompName">[7]Inform!$F$2</definedName>
    <definedName name="CompName_21">[8]Inform!$F$2</definedName>
    <definedName name="CompName_25">[8]Inform!$F$2</definedName>
    <definedName name="CompName_6" localSheetId="14">[9]Inform!$F$2</definedName>
    <definedName name="CompName_6">[10]Inform!$F$2</definedName>
    <definedName name="CompNameE" localSheetId="14">[6]Inform!$G$2</definedName>
    <definedName name="CompNameE">[7]Inform!$G$2</definedName>
    <definedName name="CompNameE_21">[8]Inform!$G$2</definedName>
    <definedName name="CompNameE_25">[8]Inform!$G$2</definedName>
    <definedName name="CompNameE_6" localSheetId="14">[9]Inform!$G$2</definedName>
    <definedName name="CompNameE_6">[10]Inform!$G$2</definedName>
    <definedName name="Cost_Category_National_ID">#REF!</definedName>
    <definedName name="Cе511">#REF!</definedName>
    <definedName name="d">'[11]МТР Газ України'!$B$4</definedName>
    <definedName name="dCPIb">[12]попер_роз!#REF!</definedName>
    <definedName name="dPPIb">[12]попер_роз!#REF!</definedName>
    <definedName name="ds">'[13]7  Інші витрати'!#REF!</definedName>
    <definedName name="Fact_Type_ID">#REF!</definedName>
    <definedName name="G">'[14]МТР Газ України'!$B$1</definedName>
    <definedName name="ij1sssss">'[15]7  Інші витрати'!#REF!</definedName>
    <definedName name="LastItem" localSheetId="14">[16]Лист1!$A$1</definedName>
    <definedName name="LastItem">[17]Лист1!$A$1</definedName>
    <definedName name="Load">'[18]МТР Газ України'!$B$4</definedName>
    <definedName name="Load_ID" localSheetId="14">'[19]МТР Газ України'!$B$4</definedName>
    <definedName name="Load_ID">'[20]МТР Газ України'!$B$4</definedName>
    <definedName name="Load_ID_10" localSheetId="14">'[21]7  Інші витрати'!#REF!</definedName>
    <definedName name="Load_ID_10">'[22]7  Інші витрати'!#REF!</definedName>
    <definedName name="Load_ID_11" localSheetId="14">'[23]МТР Газ України'!$B$4</definedName>
    <definedName name="Load_ID_11">'[24]МТР Газ України'!$B$4</definedName>
    <definedName name="Load_ID_12" localSheetId="14">'[23]МТР Газ України'!$B$4</definedName>
    <definedName name="Load_ID_12">'[24]МТР Газ України'!$B$4</definedName>
    <definedName name="Load_ID_13" localSheetId="14">'[23]МТР Газ України'!$B$4</definedName>
    <definedName name="Load_ID_13">'[24]МТР Газ України'!$B$4</definedName>
    <definedName name="Load_ID_14" localSheetId="14">'[23]МТР Газ України'!$B$4</definedName>
    <definedName name="Load_ID_14">'[24]МТР Газ України'!$B$4</definedName>
    <definedName name="Load_ID_15" localSheetId="14">'[23]МТР Газ України'!$B$4</definedName>
    <definedName name="Load_ID_15">'[24]МТР Газ України'!$B$4</definedName>
    <definedName name="Load_ID_16" localSheetId="14">'[23]МТР Газ України'!$B$4</definedName>
    <definedName name="Load_ID_16">'[24]МТР Газ України'!$B$4</definedName>
    <definedName name="Load_ID_17" localSheetId="14">'[23]МТР Газ України'!$B$4</definedName>
    <definedName name="Load_ID_17">'[24]МТР Газ України'!$B$4</definedName>
    <definedName name="Load_ID_18" localSheetId="14">'[25]МТР Газ України'!$B$4</definedName>
    <definedName name="Load_ID_18">'[26]МТР Газ України'!$B$4</definedName>
    <definedName name="Load_ID_19" localSheetId="14">'[27]МТР Газ України'!$B$4</definedName>
    <definedName name="Load_ID_19">'[28]МТР Газ України'!$B$4</definedName>
    <definedName name="Load_ID_20" localSheetId="14">'[25]МТР Газ України'!$B$4</definedName>
    <definedName name="Load_ID_20">'[26]МТР Газ України'!$B$4</definedName>
    <definedName name="Load_ID_200">'[18]МТР Газ України'!$B$4</definedName>
    <definedName name="Load_ID_21">'[29]МТР Газ України'!$B$4</definedName>
    <definedName name="Load_ID_23" localSheetId="14">'[27]МТР Газ України'!$B$4</definedName>
    <definedName name="Load_ID_23">'[28]МТР Газ України'!$B$4</definedName>
    <definedName name="Load_ID_25">'[29]МТР Газ України'!$B$4</definedName>
    <definedName name="Load_ID_542">'[30]МТР Газ України'!$B$4</definedName>
    <definedName name="Load_ID_6" localSheetId="14">'[23]МТР Газ України'!$B$4</definedName>
    <definedName name="Load_ID_6">'[24]МТР Газ України'!$B$4</definedName>
    <definedName name="OpDate" localSheetId="14">[6]Inform!$E$5</definedName>
    <definedName name="OpDate">[7]Inform!$E$5</definedName>
    <definedName name="OpDate_21">[8]Inform!$E$5</definedName>
    <definedName name="OpDate_25">[8]Inform!$E$5</definedName>
    <definedName name="OpDate_6" localSheetId="14">[9]Inform!$E$5</definedName>
    <definedName name="OpDate_6">[10]Inform!$E$5</definedName>
    <definedName name="QR">[31]Inform!$E$5</definedName>
    <definedName name="qw">[5]Inform!$E$5</definedName>
    <definedName name="qwert">[5]Inform!$G$2</definedName>
    <definedName name="qwerty">'[4]МТР Газ України'!$B$4</definedName>
    <definedName name="ShowFil" localSheetId="14">[16]!ShowFil</definedName>
    <definedName name="ShowFil">[17]!ShowFil</definedName>
    <definedName name="SU_ID" localSheetId="14">#REF!</definedName>
    <definedName name="SU_ID">#REF!</definedName>
    <definedName name="Time_ID" localSheetId="14">'[19]МТР Газ України'!$B$1</definedName>
    <definedName name="Time_ID">'[20]МТР Газ України'!$B$1</definedName>
    <definedName name="Time_ID_10" localSheetId="14">'[21]7  Інші витрати'!#REF!</definedName>
    <definedName name="Time_ID_10">'[22]7  Інші витрати'!#REF!</definedName>
    <definedName name="Time_ID_11" localSheetId="14">'[23]МТР Газ України'!$B$1</definedName>
    <definedName name="Time_ID_11">'[24]МТР Газ України'!$B$1</definedName>
    <definedName name="Time_ID_12" localSheetId="14">'[23]МТР Газ України'!$B$1</definedName>
    <definedName name="Time_ID_12">'[24]МТР Газ України'!$B$1</definedName>
    <definedName name="Time_ID_13" localSheetId="14">'[23]МТР Газ України'!$B$1</definedName>
    <definedName name="Time_ID_13">'[24]МТР Газ України'!$B$1</definedName>
    <definedName name="Time_ID_14" localSheetId="14">'[23]МТР Газ України'!$B$1</definedName>
    <definedName name="Time_ID_14">'[24]МТР Газ України'!$B$1</definedName>
    <definedName name="Time_ID_15" localSheetId="14">'[23]МТР Газ України'!$B$1</definedName>
    <definedName name="Time_ID_15">'[24]МТР Газ України'!$B$1</definedName>
    <definedName name="Time_ID_16" localSheetId="14">'[23]МТР Газ України'!$B$1</definedName>
    <definedName name="Time_ID_16">'[24]МТР Газ України'!$B$1</definedName>
    <definedName name="Time_ID_17" localSheetId="14">'[23]МТР Газ України'!$B$1</definedName>
    <definedName name="Time_ID_17">'[24]МТР Газ України'!$B$1</definedName>
    <definedName name="Time_ID_18" localSheetId="14">'[25]МТР Газ України'!$B$1</definedName>
    <definedName name="Time_ID_18">'[26]МТР Газ України'!$B$1</definedName>
    <definedName name="Time_ID_19" localSheetId="14">'[27]МТР Газ України'!$B$1</definedName>
    <definedName name="Time_ID_19">'[28]МТР Газ України'!$B$1</definedName>
    <definedName name="Time_ID_20" localSheetId="14">'[25]МТР Газ України'!$B$1</definedName>
    <definedName name="Time_ID_20">'[26]МТР Газ України'!$B$1</definedName>
    <definedName name="Time_ID_21">'[29]МТР Газ України'!$B$1</definedName>
    <definedName name="Time_ID_23" localSheetId="14">'[27]МТР Газ України'!$B$1</definedName>
    <definedName name="Time_ID_23">'[28]МТР Газ України'!$B$1</definedName>
    <definedName name="Time_ID_25">'[29]МТР Газ України'!$B$1</definedName>
    <definedName name="Time_ID_6" localSheetId="14">'[23]МТР Газ України'!$B$1</definedName>
    <definedName name="Time_ID_6">'[24]МТР Газ України'!$B$1</definedName>
    <definedName name="Time_ID0" localSheetId="14">'[19]МТР Газ України'!$F$1</definedName>
    <definedName name="Time_ID0">'[20]МТР Газ України'!$F$1</definedName>
    <definedName name="Time_ID0_10" localSheetId="14">'[21]7  Інші витрати'!#REF!</definedName>
    <definedName name="Time_ID0_10">'[22]7  Інші витрати'!#REF!</definedName>
    <definedName name="Time_ID0_11" localSheetId="14">'[23]МТР Газ України'!$F$1</definedName>
    <definedName name="Time_ID0_11">'[24]МТР Газ України'!$F$1</definedName>
    <definedName name="Time_ID0_12" localSheetId="14">'[23]МТР Газ України'!$F$1</definedName>
    <definedName name="Time_ID0_12">'[24]МТР Газ України'!$F$1</definedName>
    <definedName name="Time_ID0_13" localSheetId="14">'[23]МТР Газ України'!$F$1</definedName>
    <definedName name="Time_ID0_13">'[24]МТР Газ України'!$F$1</definedName>
    <definedName name="Time_ID0_14" localSheetId="14">'[23]МТР Газ України'!$F$1</definedName>
    <definedName name="Time_ID0_14">'[24]МТР Газ України'!$F$1</definedName>
    <definedName name="Time_ID0_15" localSheetId="14">'[23]МТР Газ України'!$F$1</definedName>
    <definedName name="Time_ID0_15">'[24]МТР Газ України'!$F$1</definedName>
    <definedName name="Time_ID0_16" localSheetId="14">'[23]МТР Газ України'!$F$1</definedName>
    <definedName name="Time_ID0_16">'[24]МТР Газ України'!$F$1</definedName>
    <definedName name="Time_ID0_17" localSheetId="14">'[23]МТР Газ України'!$F$1</definedName>
    <definedName name="Time_ID0_17">'[24]МТР Газ України'!$F$1</definedName>
    <definedName name="Time_ID0_18" localSheetId="14">'[25]МТР Газ України'!$F$1</definedName>
    <definedName name="Time_ID0_18">'[26]МТР Газ України'!$F$1</definedName>
    <definedName name="Time_ID0_19" localSheetId="14">'[27]МТР Газ України'!$F$1</definedName>
    <definedName name="Time_ID0_19">'[28]МТР Газ України'!$F$1</definedName>
    <definedName name="Time_ID0_20" localSheetId="14">'[25]МТР Газ України'!$F$1</definedName>
    <definedName name="Time_ID0_20">'[26]МТР Газ України'!$F$1</definedName>
    <definedName name="Time_ID0_21">'[29]МТР Газ України'!$F$1</definedName>
    <definedName name="Time_ID0_23" localSheetId="14">'[27]МТР Газ України'!$F$1</definedName>
    <definedName name="Time_ID0_23">'[28]МТР Газ України'!$F$1</definedName>
    <definedName name="Time_ID0_25">'[29]МТР Газ України'!$F$1</definedName>
    <definedName name="Time_ID0_6" localSheetId="14">'[23]МТР Газ України'!$F$1</definedName>
    <definedName name="Time_ID0_6">'[24]МТР Газ України'!$F$1</definedName>
    <definedName name="ttttttt">#REF!</definedName>
    <definedName name="Unit" localSheetId="14">[6]Inform!$E$38</definedName>
    <definedName name="Unit">[7]Inform!$E$38</definedName>
    <definedName name="Unit_21">[8]Inform!$E$38</definedName>
    <definedName name="Unit_25">[8]Inform!$E$38</definedName>
    <definedName name="Unit_6" localSheetId="14">[9]Inform!$E$38</definedName>
    <definedName name="Unit_6">[10]Inform!$E$38</definedName>
    <definedName name="WQER">'[32]МТР Газ України'!$B$4</definedName>
    <definedName name="wr">'[32]МТР Газ України'!$B$4</definedName>
    <definedName name="yyyy">#REF!</definedName>
    <definedName name="zx">'[4]МТР Газ України'!$F$1</definedName>
    <definedName name="zxc">[5]Inform!$E$38</definedName>
    <definedName name="а">'[15]7  Інші витрати'!#REF!</definedName>
    <definedName name="ав">#REF!</definedName>
    <definedName name="аен">'[32]МТР Газ України'!$B$4</definedName>
    <definedName name="_xlnm.Database">'[33]Ener '!$A$1:$G$2645</definedName>
    <definedName name="в">'[34]МТР Газ України'!$F$1</definedName>
    <definedName name="ватт">'[35]БАЗА  '!#REF!</definedName>
    <definedName name="Д">'[18]МТР Газ України'!$B$4</definedName>
    <definedName name="е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пок.'!$47:$49</definedName>
    <definedName name="_xlnm.Print_Titles" localSheetId="5">'Розшифровка до Руху'!$3:$5</definedName>
    <definedName name="_xlnm.Print_Titles" localSheetId="2">'Розшифровка до Формування'!$4:$6</definedName>
    <definedName name="Заголовки_для_печати_МИ">'[36]1993'!$A$1:$IV$3,'[36]1993'!$A$1:$A$65536</definedName>
    <definedName name="і">[37]Inform!$F$2</definedName>
    <definedName name="ів" localSheetId="14">#REF!</definedName>
    <definedName name="ів">#REF!</definedName>
    <definedName name="ів___0" localSheetId="14">#REF!</definedName>
    <definedName name="ів___0">#REF!</definedName>
    <definedName name="ів_22" localSheetId="14">#REF!</definedName>
    <definedName name="ів_22">#REF!</definedName>
    <definedName name="ів_26">#REF!</definedName>
    <definedName name="іваіа" localSheetId="14">'[38]7  Інші витрати'!#REF!</definedName>
    <definedName name="іваіа">'[39]7  Інші витрати'!#REF!</definedName>
    <definedName name="іваф" localSheetId="14">#REF!</definedName>
    <definedName name="іваф">#REF!</definedName>
    <definedName name="івів">'[14]МТР Газ України'!$B$1</definedName>
    <definedName name="іцу">[31]Inform!$G$2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'[38]7  Інші витрати'!#REF!</definedName>
    <definedName name="йцукц">'[39]7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Коефіцієнти'!$A$1:$H$27</definedName>
    <definedName name="_xlnm.Print_Area" localSheetId="9">'6.1. Інша інфо_1'!$A$1:$O$70</definedName>
    <definedName name="_xlnm.Print_Area" localSheetId="10">'6.2. Інша інфо_2'!$A$1:$AE$45</definedName>
    <definedName name="_xlnm.Print_Area" localSheetId="1">'I. Фін результат'!$A$1:$K$99</definedName>
    <definedName name="_xlnm.Print_Area" localSheetId="6">'IV. Кап. інвестиції'!$A$1:$J$18</definedName>
    <definedName name="_xlnm.Print_Area" localSheetId="11">'VII Статутн капіт'!$A$1:$J$15</definedName>
    <definedName name="_xlnm.Print_Area" localSheetId="14">Аналіз!$A$1:$H$96</definedName>
    <definedName name="_xlnm.Print_Area" localSheetId="3">'ІІ. Розр. з бюджетом'!$A$1:$J$47</definedName>
    <definedName name="_xlnm.Print_Area" localSheetId="4">'ІІІ. Рух грош. коштів'!$A$1:$J$71</definedName>
    <definedName name="_xlnm.Print_Area" localSheetId="0">'Осн. фін. пок.'!$A$1:$I$134</definedName>
    <definedName name="_xlnm.Print_Area" localSheetId="5">'Розшифровка до Руху'!$A$1:$J$72</definedName>
    <definedName name="_xlnm.Print_Area" localSheetId="2">'Розшифровка до Формування'!$A$1:$J$90</definedName>
    <definedName name="_xlnm.Print_Area" localSheetId="7">'Розшифровка кап'!$A$1:$J$35</definedName>
    <definedName name="_xlnm.Print_Area" localSheetId="12">'Розшифровка статутний'!$A$1:$J$24</definedName>
    <definedName name="п" localSheetId="14">'[15]7  Інші витрати'!#REF!</definedName>
    <definedName name="п">'[15]7  Інші витрати'!#REF!</definedName>
    <definedName name="пдв">'[18]МТР Газ України'!$B$4</definedName>
    <definedName name="пдв_утг">'[18]МТР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[40]Inform!$E$6</definedName>
    <definedName name="ппп">[41]Inform!$E$6</definedName>
    <definedName name="р" localSheetId="14">#REF!</definedName>
    <definedName name="р">#REF!</definedName>
    <definedName name="т">[42]Inform!$E$6</definedName>
    <definedName name="тариф">[43]Inform!$G$2</definedName>
    <definedName name="уйцукйцуйу" localSheetId="14">#REF!</definedName>
    <definedName name="уйцукйцуйу">#REF!</definedName>
    <definedName name="уке">[44]Inform!$G$2</definedName>
    <definedName name="УТГ">'[18]МТР Газ України'!$B$4</definedName>
    <definedName name="фів">'[32]МТР Газ України'!$B$4</definedName>
    <definedName name="фіваіф" localSheetId="14">'[38]7  Інші витрати'!#REF!</definedName>
    <definedName name="фіваіф">'[39]7  Інші витрати'!#REF!</definedName>
    <definedName name="фф">'[34]МТР Газ України'!$F$1</definedName>
    <definedName name="ц">'[15]7  Інші витрати'!#REF!</definedName>
    <definedName name="ччч">'[45]БАЗА  '!#REF!</definedName>
    <definedName name="ш" localSheetId="14">#REF!</definedName>
    <definedName name="ш">#REF!</definedName>
  </definedNames>
  <calcPr calcId="162913" fullPrecision="0"/>
</workbook>
</file>

<file path=xl/calcChain.xml><?xml version="1.0" encoding="utf-8"?>
<calcChain xmlns="http://schemas.openxmlformats.org/spreadsheetml/2006/main">
  <c r="E19" i="19" l="1"/>
  <c r="E27" i="19"/>
  <c r="E36" i="19"/>
  <c r="E43" i="19" s="1"/>
  <c r="C88" i="27"/>
  <c r="D38" i="27"/>
  <c r="D44" i="27"/>
  <c r="E44" i="27" s="1"/>
  <c r="E89" i="27"/>
  <c r="F89" i="27"/>
  <c r="G89" i="27"/>
  <c r="H89" i="27"/>
  <c r="E90" i="27"/>
  <c r="F90" i="27"/>
  <c r="G90" i="27"/>
  <c r="H90" i="27"/>
  <c r="E91" i="27"/>
  <c r="F91" i="27"/>
  <c r="G91" i="27"/>
  <c r="H91" i="27"/>
  <c r="E92" i="27"/>
  <c r="F92" i="27"/>
  <c r="G92" i="27"/>
  <c r="H92" i="27"/>
  <c r="E93" i="27"/>
  <c r="F93" i="27"/>
  <c r="G93" i="27"/>
  <c r="H93" i="27"/>
  <c r="E94" i="27"/>
  <c r="F94" i="27"/>
  <c r="G94" i="27"/>
  <c r="H94" i="27"/>
  <c r="E95" i="27"/>
  <c r="F95" i="27"/>
  <c r="G95" i="27"/>
  <c r="H95" i="27"/>
  <c r="E96" i="27"/>
  <c r="F96" i="27"/>
  <c r="G96" i="27"/>
  <c r="H96" i="27"/>
  <c r="H88" i="27"/>
  <c r="G88" i="27"/>
  <c r="F88" i="27"/>
  <c r="E88" i="27"/>
  <c r="E74" i="27"/>
  <c r="F74" i="27"/>
  <c r="G74" i="27"/>
  <c r="H74" i="27"/>
  <c r="E75" i="27"/>
  <c r="F75" i="27"/>
  <c r="G75" i="27"/>
  <c r="H75" i="27"/>
  <c r="E76" i="27"/>
  <c r="F76" i="27"/>
  <c r="G76" i="27"/>
  <c r="H76" i="27"/>
  <c r="E77" i="27"/>
  <c r="F77" i="27"/>
  <c r="G77" i="27"/>
  <c r="H77" i="27"/>
  <c r="E78" i="27"/>
  <c r="F78" i="27"/>
  <c r="G78" i="27"/>
  <c r="H78" i="27"/>
  <c r="H73" i="27"/>
  <c r="G73" i="27"/>
  <c r="F73" i="27"/>
  <c r="E73" i="27"/>
  <c r="E54" i="27"/>
  <c r="F54" i="27"/>
  <c r="G54" i="27"/>
  <c r="H54" i="27"/>
  <c r="E55" i="27"/>
  <c r="F55" i="27"/>
  <c r="G55" i="27"/>
  <c r="H55" i="27"/>
  <c r="E56" i="27"/>
  <c r="F56" i="27"/>
  <c r="G56" i="27"/>
  <c r="H56" i="27"/>
  <c r="E57" i="27"/>
  <c r="F57" i="27"/>
  <c r="G57" i="27"/>
  <c r="H57" i="27"/>
  <c r="E58" i="27"/>
  <c r="F58" i="27"/>
  <c r="G58" i="27"/>
  <c r="H58" i="27"/>
  <c r="E59" i="27"/>
  <c r="F59" i="27"/>
  <c r="G59" i="27"/>
  <c r="H59" i="27"/>
  <c r="E60" i="27"/>
  <c r="F60" i="27"/>
  <c r="G60" i="27"/>
  <c r="H60" i="27"/>
  <c r="E61" i="27"/>
  <c r="F61" i="27"/>
  <c r="G61" i="27"/>
  <c r="H61" i="27"/>
  <c r="E62" i="27"/>
  <c r="F62" i="27"/>
  <c r="G62" i="27"/>
  <c r="H62" i="27"/>
  <c r="E63" i="27"/>
  <c r="F63" i="27"/>
  <c r="G63" i="27"/>
  <c r="H63" i="27"/>
  <c r="E64" i="27"/>
  <c r="F64" i="27"/>
  <c r="G64" i="27"/>
  <c r="H64" i="27"/>
  <c r="H53" i="27"/>
  <c r="G53" i="27"/>
  <c r="F53" i="27"/>
  <c r="E53" i="27"/>
  <c r="E39" i="27"/>
  <c r="F39" i="27"/>
  <c r="G39" i="27"/>
  <c r="H39" i="27"/>
  <c r="E40" i="27"/>
  <c r="F40" i="27"/>
  <c r="G40" i="27"/>
  <c r="H40" i="27"/>
  <c r="E41" i="27"/>
  <c r="F41" i="27"/>
  <c r="G41" i="27"/>
  <c r="H41" i="27"/>
  <c r="E42" i="27"/>
  <c r="F42" i="27"/>
  <c r="G42" i="27"/>
  <c r="H42" i="27"/>
  <c r="E43" i="27"/>
  <c r="F43" i="27"/>
  <c r="E10" i="27"/>
  <c r="F10" i="27"/>
  <c r="G10" i="27"/>
  <c r="H10" i="27"/>
  <c r="E11" i="27"/>
  <c r="F11" i="27"/>
  <c r="G11" i="27"/>
  <c r="H11" i="27"/>
  <c r="E12" i="27"/>
  <c r="F12" i="27"/>
  <c r="G12" i="27"/>
  <c r="H12" i="27"/>
  <c r="E13" i="27"/>
  <c r="F13" i="27"/>
  <c r="G13" i="27"/>
  <c r="H13" i="27"/>
  <c r="E14" i="27"/>
  <c r="F14" i="27"/>
  <c r="G14" i="27"/>
  <c r="H14" i="27"/>
  <c r="E15" i="27"/>
  <c r="F15" i="27"/>
  <c r="G15" i="27"/>
  <c r="H15" i="27"/>
  <c r="E16" i="27"/>
  <c r="F16" i="27"/>
  <c r="G16" i="27"/>
  <c r="H16" i="27"/>
  <c r="E17" i="27"/>
  <c r="F17" i="27"/>
  <c r="G17" i="27"/>
  <c r="H17" i="27"/>
  <c r="E18" i="27"/>
  <c r="F18" i="27"/>
  <c r="G18" i="27"/>
  <c r="H18" i="27"/>
  <c r="E19" i="27"/>
  <c r="F19" i="27"/>
  <c r="G19" i="27"/>
  <c r="H19" i="27"/>
  <c r="E20" i="27"/>
  <c r="F20" i="27"/>
  <c r="G20" i="27"/>
  <c r="H20" i="27"/>
  <c r="E21" i="27"/>
  <c r="F21" i="27"/>
  <c r="G21" i="27"/>
  <c r="H21" i="27"/>
  <c r="E22" i="27"/>
  <c r="F22" i="27"/>
  <c r="G22" i="27"/>
  <c r="H22" i="27"/>
  <c r="E23" i="27"/>
  <c r="F23" i="27"/>
  <c r="G23" i="27"/>
  <c r="H23" i="27"/>
  <c r="E24" i="27"/>
  <c r="F24" i="27"/>
  <c r="G24" i="27"/>
  <c r="H24" i="27"/>
  <c r="E25" i="27"/>
  <c r="F25" i="27"/>
  <c r="G25" i="27"/>
  <c r="H25" i="27"/>
  <c r="E26" i="27"/>
  <c r="F26" i="27"/>
  <c r="G26" i="27"/>
  <c r="H26" i="27"/>
  <c r="E27" i="27"/>
  <c r="F27" i="27"/>
  <c r="G27" i="27"/>
  <c r="H27" i="27"/>
  <c r="E28" i="27"/>
  <c r="F28" i="27"/>
  <c r="G28" i="27"/>
  <c r="H28" i="27"/>
  <c r="E29" i="27"/>
  <c r="F29" i="27"/>
  <c r="G29" i="27"/>
  <c r="H29" i="27"/>
  <c r="H9" i="27"/>
  <c r="G9" i="27"/>
  <c r="F9" i="27"/>
  <c r="E9" i="27"/>
  <c r="H43" i="27" l="1"/>
  <c r="G43" i="27"/>
  <c r="H44" i="27"/>
  <c r="G44" i="27"/>
  <c r="F44" i="27"/>
  <c r="D61" i="27" l="1"/>
  <c r="C61" i="27"/>
  <c r="B61" i="27"/>
  <c r="D59" i="27"/>
  <c r="D60" i="27"/>
  <c r="D58" i="27"/>
  <c r="D55" i="27"/>
  <c r="D56" i="27"/>
  <c r="D54" i="27"/>
  <c r="C59" i="27"/>
  <c r="C60" i="27"/>
  <c r="C58" i="27"/>
  <c r="C57" i="27" s="1"/>
  <c r="C56" i="27"/>
  <c r="B57" i="27"/>
  <c r="B58" i="27"/>
  <c r="B59" i="27"/>
  <c r="B60" i="27"/>
  <c r="B53" i="27"/>
  <c r="B55" i="27"/>
  <c r="B56" i="27"/>
  <c r="B54" i="27"/>
  <c r="A62" i="27"/>
  <c r="A63" i="27"/>
  <c r="A64" i="27"/>
  <c r="A61" i="27"/>
  <c r="A58" i="27"/>
  <c r="A59" i="27"/>
  <c r="A60" i="27"/>
  <c r="A57" i="27"/>
  <c r="A54" i="27"/>
  <c r="A55" i="27"/>
  <c r="A56" i="27"/>
  <c r="B89" i="27"/>
  <c r="B90" i="27"/>
  <c r="C90" i="27"/>
  <c r="B91" i="27"/>
  <c r="C91" i="27"/>
  <c r="B92" i="27"/>
  <c r="C92" i="27"/>
  <c r="D57" i="27" l="1"/>
  <c r="D53" i="27"/>
  <c r="B96" i="27" l="1"/>
  <c r="B95" i="27"/>
  <c r="B94" i="27"/>
  <c r="B93" i="27"/>
  <c r="B42" i="27"/>
  <c r="C11" i="27"/>
  <c r="C12" i="27"/>
  <c r="C13" i="27"/>
  <c r="C14" i="27"/>
  <c r="C15" i="27"/>
  <c r="C16" i="27"/>
  <c r="C17" i="27"/>
  <c r="C18" i="27"/>
  <c r="C19" i="27"/>
  <c r="C20" i="27"/>
  <c r="C10" i="27"/>
  <c r="B11" i="27"/>
  <c r="B12" i="27"/>
  <c r="B13" i="27"/>
  <c r="B14" i="27"/>
  <c r="B15" i="27"/>
  <c r="B16" i="27"/>
  <c r="B17" i="27"/>
  <c r="B18" i="27"/>
  <c r="B19" i="27"/>
  <c r="B20" i="27"/>
  <c r="B10" i="27"/>
  <c r="A11" i="27"/>
  <c r="A12" i="27"/>
  <c r="A13" i="27"/>
  <c r="A14" i="27"/>
  <c r="A15" i="27"/>
  <c r="A16" i="27"/>
  <c r="A17" i="27"/>
  <c r="A18" i="27"/>
  <c r="A19" i="27"/>
  <c r="A20" i="27"/>
  <c r="A10" i="27"/>
  <c r="D11" i="27"/>
  <c r="D12" i="27"/>
  <c r="D13" i="27"/>
  <c r="D14" i="27"/>
  <c r="D15" i="27"/>
  <c r="D16" i="27"/>
  <c r="D17" i="27"/>
  <c r="D18" i="27"/>
  <c r="D19" i="27"/>
  <c r="D20" i="27"/>
  <c r="D10" i="27"/>
  <c r="B88" i="27" l="1"/>
  <c r="D21" i="27"/>
  <c r="F23" i="24"/>
  <c r="F29" i="24"/>
  <c r="F27" i="24"/>
  <c r="D9" i="27" l="1"/>
  <c r="D27" i="19" l="1"/>
  <c r="H94" i="20"/>
  <c r="I94" i="20"/>
  <c r="J94" i="20"/>
  <c r="G94" i="20"/>
  <c r="G91" i="20"/>
  <c r="J24" i="10" l="1"/>
  <c r="D63" i="27" s="1"/>
  <c r="H71" i="22" l="1"/>
  <c r="I71" i="22"/>
  <c r="J71" i="22"/>
  <c r="G71" i="22"/>
  <c r="F78" i="22"/>
  <c r="W18" i="9" l="1"/>
  <c r="T18" i="9"/>
  <c r="Q18" i="9"/>
  <c r="C83" i="20" l="1"/>
  <c r="C74" i="14"/>
  <c r="F12" i="3" l="1"/>
  <c r="E119" i="14"/>
  <c r="C124" i="14"/>
  <c r="C125" i="14"/>
  <c r="C103" i="14"/>
  <c r="C98" i="14"/>
  <c r="J60" i="10" l="1"/>
  <c r="F13" i="20"/>
  <c r="H39" i="19" l="1"/>
  <c r="I39" i="19"/>
  <c r="J39" i="19"/>
  <c r="G39" i="19"/>
  <c r="H31" i="19"/>
  <c r="I31" i="19"/>
  <c r="J31" i="19"/>
  <c r="G31" i="19"/>
  <c r="H90" i="20"/>
  <c r="I90" i="20"/>
  <c r="J90" i="20"/>
  <c r="G90" i="20"/>
  <c r="H26" i="20" l="1"/>
  <c r="I26" i="20"/>
  <c r="J26" i="20"/>
  <c r="G26" i="20"/>
  <c r="H14" i="20"/>
  <c r="I14" i="20"/>
  <c r="J14" i="20"/>
  <c r="G14" i="20"/>
  <c r="E32" i="23"/>
  <c r="D83" i="20"/>
  <c r="E20" i="20" l="1"/>
  <c r="E28" i="20"/>
  <c r="E41" i="20"/>
  <c r="D20" i="24"/>
  <c r="C20" i="24"/>
  <c r="F51" i="23"/>
  <c r="F53" i="23"/>
  <c r="F54" i="23"/>
  <c r="C49" i="23"/>
  <c r="C20" i="18"/>
  <c r="J64" i="20"/>
  <c r="L98" i="14" l="1"/>
  <c r="D78" i="27" l="1"/>
  <c r="C21" i="27"/>
  <c r="AE128" i="26"/>
  <c r="AK128" i="26" s="1"/>
  <c r="H64" i="14" s="1"/>
  <c r="AD128" i="26"/>
  <c r="AJ128" i="26" s="1"/>
  <c r="AC127" i="26"/>
  <c r="AC126" i="26"/>
  <c r="AC125" i="26"/>
  <c r="AE123" i="26"/>
  <c r="AK123" i="26" s="1"/>
  <c r="AD123" i="26"/>
  <c r="AJ123" i="26" s="1"/>
  <c r="AC122" i="26"/>
  <c r="AC121" i="26"/>
  <c r="AC120" i="26"/>
  <c r="AE119" i="26"/>
  <c r="AD119" i="26"/>
  <c r="AB119" i="26"/>
  <c r="AA119" i="26"/>
  <c r="Z119" i="26"/>
  <c r="Y119" i="26"/>
  <c r="X119" i="26"/>
  <c r="W119" i="26"/>
  <c r="U119" i="26"/>
  <c r="T119" i="26"/>
  <c r="AC118" i="26"/>
  <c r="V118" i="26"/>
  <c r="AC117" i="26"/>
  <c r="V117" i="26"/>
  <c r="AC116" i="26"/>
  <c r="V116" i="26"/>
  <c r="V119" i="26" s="1"/>
  <c r="AE115" i="26"/>
  <c r="AD115" i="26"/>
  <c r="AB115" i="26"/>
  <c r="AA115" i="26"/>
  <c r="Z115" i="26"/>
  <c r="Y115" i="26"/>
  <c r="X115" i="26"/>
  <c r="W115" i="26"/>
  <c r="U115" i="26"/>
  <c r="T115" i="26"/>
  <c r="S115" i="26"/>
  <c r="R115" i="26"/>
  <c r="Q115" i="26"/>
  <c r="O115" i="26"/>
  <c r="N115" i="26"/>
  <c r="AC114" i="26"/>
  <c r="V114" i="26"/>
  <c r="AC113" i="26"/>
  <c r="V113" i="26"/>
  <c r="P113" i="26"/>
  <c r="AC112" i="26"/>
  <c r="V112" i="26"/>
  <c r="P112" i="26"/>
  <c r="AE111" i="26"/>
  <c r="AD111" i="26"/>
  <c r="AB111" i="26"/>
  <c r="AB124" i="26" s="1"/>
  <c r="AA111" i="26"/>
  <c r="Z111" i="26"/>
  <c r="Z124" i="26" s="1"/>
  <c r="Y111" i="26"/>
  <c r="X111" i="26"/>
  <c r="X124" i="26" s="1"/>
  <c r="W111" i="26"/>
  <c r="U111" i="26"/>
  <c r="T111" i="26"/>
  <c r="S111" i="26"/>
  <c r="R111" i="26"/>
  <c r="Q111" i="26"/>
  <c r="O111" i="26"/>
  <c r="N111" i="26"/>
  <c r="AC110" i="26"/>
  <c r="V110" i="26"/>
  <c r="P110" i="26"/>
  <c r="AC109" i="26"/>
  <c r="V109" i="26"/>
  <c r="P109" i="26"/>
  <c r="AC108" i="26"/>
  <c r="V108" i="26"/>
  <c r="P108" i="26"/>
  <c r="AH106" i="26"/>
  <c r="AG106" i="26"/>
  <c r="AF106" i="26"/>
  <c r="AE106" i="26"/>
  <c r="AD106" i="26"/>
  <c r="AB106" i="26"/>
  <c r="AA106" i="26"/>
  <c r="Z106" i="26"/>
  <c r="Y106" i="26"/>
  <c r="X106" i="26"/>
  <c r="W106" i="26"/>
  <c r="U106" i="26"/>
  <c r="T106" i="26"/>
  <c r="S106" i="26"/>
  <c r="R106" i="26"/>
  <c r="Q106" i="26"/>
  <c r="O106" i="26"/>
  <c r="N106" i="26"/>
  <c r="M106" i="26"/>
  <c r="L106" i="26"/>
  <c r="K106" i="26"/>
  <c r="I106" i="26"/>
  <c r="H106" i="26"/>
  <c r="F106" i="26"/>
  <c r="E106" i="26"/>
  <c r="AC105" i="26"/>
  <c r="V105" i="26"/>
  <c r="P105" i="26"/>
  <c r="J105" i="26"/>
  <c r="G105" i="26"/>
  <c r="AC104" i="26"/>
  <c r="V104" i="26"/>
  <c r="P104" i="26"/>
  <c r="J104" i="26"/>
  <c r="G104" i="26"/>
  <c r="AC103" i="26"/>
  <c r="V103" i="26"/>
  <c r="P103" i="26"/>
  <c r="J103" i="26"/>
  <c r="G103" i="26"/>
  <c r="AH102" i="26"/>
  <c r="AG102" i="26"/>
  <c r="AF102" i="26"/>
  <c r="AE102" i="26"/>
  <c r="AD102" i="26"/>
  <c r="AB102" i="26"/>
  <c r="AA102" i="26"/>
  <c r="Z102" i="26"/>
  <c r="Y102" i="26"/>
  <c r="X102" i="26"/>
  <c r="W102" i="26"/>
  <c r="U102" i="26"/>
  <c r="T102" i="26"/>
  <c r="S102" i="26"/>
  <c r="R102" i="26"/>
  <c r="Q102" i="26"/>
  <c r="O102" i="26"/>
  <c r="N102" i="26"/>
  <c r="M102" i="26"/>
  <c r="L102" i="26"/>
  <c r="K102" i="26"/>
  <c r="I102" i="26"/>
  <c r="H102" i="26"/>
  <c r="F102" i="26"/>
  <c r="E102" i="26"/>
  <c r="AC101" i="26"/>
  <c r="V101" i="26"/>
  <c r="P101" i="26"/>
  <c r="J101" i="26"/>
  <c r="G101" i="26"/>
  <c r="AC100" i="26"/>
  <c r="V100" i="26"/>
  <c r="P100" i="26"/>
  <c r="J100" i="26"/>
  <c r="G100" i="26"/>
  <c r="AC99" i="26"/>
  <c r="V99" i="26"/>
  <c r="P99" i="26"/>
  <c r="J99" i="26"/>
  <c r="G99" i="26"/>
  <c r="AH98" i="26"/>
  <c r="AG98" i="26"/>
  <c r="AF98" i="26"/>
  <c r="AE98" i="26"/>
  <c r="AD98" i="26"/>
  <c r="AB98" i="26"/>
  <c r="AA98" i="26"/>
  <c r="Z98" i="26"/>
  <c r="Y98" i="26"/>
  <c r="X98" i="26"/>
  <c r="W98" i="26"/>
  <c r="U98" i="26"/>
  <c r="T98" i="26"/>
  <c r="S98" i="26"/>
  <c r="R98" i="26"/>
  <c r="Q98" i="26"/>
  <c r="O98" i="26"/>
  <c r="N98" i="26"/>
  <c r="M98" i="26"/>
  <c r="L98" i="26"/>
  <c r="K98" i="26"/>
  <c r="I98" i="26"/>
  <c r="H98" i="26"/>
  <c r="F98" i="26"/>
  <c r="E98" i="26"/>
  <c r="AC97" i="26"/>
  <c r="V97" i="26"/>
  <c r="P97" i="26"/>
  <c r="J97" i="26"/>
  <c r="G97" i="26"/>
  <c r="AC96" i="26"/>
  <c r="V96" i="26"/>
  <c r="P96" i="26"/>
  <c r="J96" i="26"/>
  <c r="G96" i="26"/>
  <c r="AC95" i="26"/>
  <c r="V95" i="26"/>
  <c r="P95" i="26"/>
  <c r="J95" i="26"/>
  <c r="G95" i="26"/>
  <c r="AH94" i="26"/>
  <c r="AH107" i="26" s="1"/>
  <c r="AG94" i="26"/>
  <c r="AG107" i="26" s="1"/>
  <c r="AF94" i="26"/>
  <c r="AF107" i="26" s="1"/>
  <c r="AE94" i="26"/>
  <c r="AE107" i="26" s="1"/>
  <c r="AD94" i="26"/>
  <c r="AD107" i="26" s="1"/>
  <c r="AB94" i="26"/>
  <c r="AB107" i="26" s="1"/>
  <c r="AA94" i="26"/>
  <c r="AA107" i="26" s="1"/>
  <c r="Z94" i="26"/>
  <c r="Z107" i="26" s="1"/>
  <c r="Y94" i="26"/>
  <c r="Y107" i="26" s="1"/>
  <c r="X94" i="26"/>
  <c r="X107" i="26" s="1"/>
  <c r="W94" i="26"/>
  <c r="W107" i="26" s="1"/>
  <c r="U94" i="26"/>
  <c r="T94" i="26"/>
  <c r="T107" i="26" s="1"/>
  <c r="S94" i="26"/>
  <c r="S107" i="26" s="1"/>
  <c r="R94" i="26"/>
  <c r="R107" i="26" s="1"/>
  <c r="Q94" i="26"/>
  <c r="O94" i="26"/>
  <c r="O107" i="26" s="1"/>
  <c r="N94" i="26"/>
  <c r="N107" i="26" s="1"/>
  <c r="M94" i="26"/>
  <c r="L94" i="26"/>
  <c r="L107" i="26" s="1"/>
  <c r="K94" i="26"/>
  <c r="K107" i="26" s="1"/>
  <c r="I94" i="26"/>
  <c r="I107" i="26" s="1"/>
  <c r="H94" i="26"/>
  <c r="F94" i="26"/>
  <c r="F107" i="26" s="1"/>
  <c r="E94" i="26"/>
  <c r="E107" i="26" s="1"/>
  <c r="AC93" i="26"/>
  <c r="V93" i="26"/>
  <c r="P93" i="26"/>
  <c r="J93" i="26"/>
  <c r="G93" i="26"/>
  <c r="AC92" i="26"/>
  <c r="V92" i="26"/>
  <c r="P92" i="26"/>
  <c r="J92" i="26"/>
  <c r="G92" i="26"/>
  <c r="AC91" i="26"/>
  <c r="V91" i="26"/>
  <c r="P91" i="26"/>
  <c r="J91" i="26"/>
  <c r="G91" i="26"/>
  <c r="AH89" i="26"/>
  <c r="AG89" i="26"/>
  <c r="AF89" i="26"/>
  <c r="AE89" i="26"/>
  <c r="AD89" i="26"/>
  <c r="AB89" i="26"/>
  <c r="AA89" i="26"/>
  <c r="Z89" i="26"/>
  <c r="Y89" i="26"/>
  <c r="X89" i="26"/>
  <c r="W89" i="26"/>
  <c r="U89" i="26"/>
  <c r="T89" i="26"/>
  <c r="S89" i="26"/>
  <c r="R89" i="26"/>
  <c r="Q89" i="26"/>
  <c r="O89" i="26"/>
  <c r="N89" i="26"/>
  <c r="M89" i="26"/>
  <c r="L89" i="26"/>
  <c r="K89" i="26"/>
  <c r="I89" i="26"/>
  <c r="H89" i="26"/>
  <c r="F89" i="26"/>
  <c r="E89" i="26"/>
  <c r="AC88" i="26"/>
  <c r="V88" i="26"/>
  <c r="P88" i="26"/>
  <c r="J88" i="26"/>
  <c r="G88" i="26"/>
  <c r="AC87" i="26"/>
  <c r="V87" i="26"/>
  <c r="P87" i="26"/>
  <c r="J87" i="26"/>
  <c r="G87" i="26"/>
  <c r="AC86" i="26"/>
  <c r="V86" i="26"/>
  <c r="P86" i="26"/>
  <c r="J86" i="26"/>
  <c r="G86" i="26"/>
  <c r="AH85" i="26"/>
  <c r="AG85" i="26"/>
  <c r="AF85" i="26"/>
  <c r="AE85" i="26"/>
  <c r="AD85" i="26"/>
  <c r="AB85" i="26"/>
  <c r="AA85" i="26"/>
  <c r="Z85" i="26"/>
  <c r="Y85" i="26"/>
  <c r="X85" i="26"/>
  <c r="W85" i="26"/>
  <c r="U85" i="26"/>
  <c r="T85" i="26"/>
  <c r="S85" i="26"/>
  <c r="R85" i="26"/>
  <c r="Q85" i="26"/>
  <c r="O85" i="26"/>
  <c r="N85" i="26"/>
  <c r="M85" i="26"/>
  <c r="L85" i="26"/>
  <c r="K85" i="26"/>
  <c r="I85" i="26"/>
  <c r="H85" i="26"/>
  <c r="F85" i="26"/>
  <c r="E85" i="26"/>
  <c r="C85" i="26"/>
  <c r="B85" i="26"/>
  <c r="AC84" i="26"/>
  <c r="V84" i="26"/>
  <c r="P84" i="26"/>
  <c r="J84" i="26"/>
  <c r="G84" i="26"/>
  <c r="AC83" i="26"/>
  <c r="V83" i="26"/>
  <c r="P83" i="26"/>
  <c r="J83" i="26"/>
  <c r="G83" i="26"/>
  <c r="D83" i="26"/>
  <c r="AC82" i="26"/>
  <c r="V82" i="26"/>
  <c r="P82" i="26"/>
  <c r="J82" i="26"/>
  <c r="G82" i="26"/>
  <c r="D82" i="26"/>
  <c r="AH81" i="26"/>
  <c r="AG81" i="26"/>
  <c r="AF81" i="26"/>
  <c r="AE81" i="26"/>
  <c r="AD81" i="26"/>
  <c r="AB81" i="26"/>
  <c r="AA81" i="26"/>
  <c r="Z81" i="26"/>
  <c r="Y81" i="26"/>
  <c r="X81" i="26"/>
  <c r="W81" i="26"/>
  <c r="U81" i="26"/>
  <c r="T81" i="26"/>
  <c r="S81" i="26"/>
  <c r="R81" i="26"/>
  <c r="Q81" i="26"/>
  <c r="O81" i="26"/>
  <c r="N81" i="26"/>
  <c r="M81" i="26"/>
  <c r="L81" i="26"/>
  <c r="K81" i="26"/>
  <c r="I81" i="26"/>
  <c r="H81" i="26"/>
  <c r="F81" i="26"/>
  <c r="E81" i="26"/>
  <c r="C81" i="26"/>
  <c r="B81" i="26"/>
  <c r="AC80" i="26"/>
  <c r="V80" i="26"/>
  <c r="P80" i="26"/>
  <c r="J80" i="26"/>
  <c r="G80" i="26"/>
  <c r="D80" i="26"/>
  <c r="AC79" i="26"/>
  <c r="V79" i="26"/>
  <c r="P79" i="26"/>
  <c r="J79" i="26"/>
  <c r="G79" i="26"/>
  <c r="D79" i="26"/>
  <c r="AC78" i="26"/>
  <c r="V78" i="26"/>
  <c r="P78" i="26"/>
  <c r="J78" i="26"/>
  <c r="G78" i="26"/>
  <c r="D78" i="26"/>
  <c r="AG77" i="26"/>
  <c r="AF77" i="26"/>
  <c r="AE77" i="26"/>
  <c r="AD77" i="26"/>
  <c r="AB77" i="26"/>
  <c r="AA77" i="26"/>
  <c r="AA90" i="26" s="1"/>
  <c r="Z77" i="26"/>
  <c r="Z90" i="26" s="1"/>
  <c r="Y77" i="26"/>
  <c r="X77" i="26"/>
  <c r="W77" i="26"/>
  <c r="W90" i="26" s="1"/>
  <c r="U77" i="26"/>
  <c r="T77" i="26"/>
  <c r="S77" i="26"/>
  <c r="S90" i="26" s="1"/>
  <c r="R77" i="26"/>
  <c r="R90" i="26" s="1"/>
  <c r="Q77" i="26"/>
  <c r="O77" i="26"/>
  <c r="N77" i="26"/>
  <c r="N90" i="26" s="1"/>
  <c r="M77" i="26"/>
  <c r="L77" i="26"/>
  <c r="K77" i="26"/>
  <c r="I77" i="26"/>
  <c r="H77" i="26"/>
  <c r="F77" i="26"/>
  <c r="E77" i="26"/>
  <c r="C77" i="26"/>
  <c r="B77" i="26"/>
  <c r="AH76" i="26"/>
  <c r="AC76" i="26"/>
  <c r="V76" i="26"/>
  <c r="P76" i="26"/>
  <c r="J76" i="26"/>
  <c r="G76" i="26"/>
  <c r="D76" i="26"/>
  <c r="AH75" i="26"/>
  <c r="AC75" i="26"/>
  <c r="V75" i="26"/>
  <c r="P75" i="26"/>
  <c r="J75" i="26"/>
  <c r="G75" i="26"/>
  <c r="D75" i="26"/>
  <c r="AH74" i="26"/>
  <c r="AC74" i="26"/>
  <c r="V74" i="26"/>
  <c r="P74" i="26"/>
  <c r="J74" i="26"/>
  <c r="G74" i="26"/>
  <c r="D74" i="26"/>
  <c r="AG72" i="26"/>
  <c r="AE72" i="26"/>
  <c r="AD72" i="26"/>
  <c r="AB72" i="26"/>
  <c r="AA72" i="26"/>
  <c r="Z72" i="26"/>
  <c r="Y72" i="26"/>
  <c r="X72" i="26"/>
  <c r="W72" i="26"/>
  <c r="U72" i="26"/>
  <c r="T72" i="26"/>
  <c r="S72" i="26"/>
  <c r="R72" i="26"/>
  <c r="Q72" i="26"/>
  <c r="O72" i="26"/>
  <c r="N72" i="26"/>
  <c r="M72" i="26"/>
  <c r="L72" i="26"/>
  <c r="K72" i="26"/>
  <c r="I72" i="26"/>
  <c r="H72" i="26"/>
  <c r="F72" i="26"/>
  <c r="E72" i="26"/>
  <c r="C72" i="26"/>
  <c r="B72" i="26"/>
  <c r="AF71" i="26"/>
  <c r="AH71" i="26" s="1"/>
  <c r="AC71" i="26"/>
  <c r="V71" i="26"/>
  <c r="P71" i="26"/>
  <c r="J71" i="26"/>
  <c r="G71" i="26"/>
  <c r="D71" i="26"/>
  <c r="AH70" i="26"/>
  <c r="AC70" i="26"/>
  <c r="V70" i="26"/>
  <c r="P70" i="26"/>
  <c r="J70" i="26"/>
  <c r="G70" i="26"/>
  <c r="D70" i="26"/>
  <c r="AH69" i="26"/>
  <c r="AC69" i="26"/>
  <c r="V69" i="26"/>
  <c r="P69" i="26"/>
  <c r="J69" i="26"/>
  <c r="G69" i="26"/>
  <c r="D69" i="26"/>
  <c r="AG68" i="26"/>
  <c r="AF68" i="26"/>
  <c r="AE68" i="26"/>
  <c r="AD68" i="26"/>
  <c r="Z68" i="26"/>
  <c r="Y68" i="26"/>
  <c r="X68" i="26"/>
  <c r="W68" i="26"/>
  <c r="U68" i="26"/>
  <c r="T68" i="26"/>
  <c r="S68" i="26"/>
  <c r="R68" i="26"/>
  <c r="Q68" i="26"/>
  <c r="O68" i="26"/>
  <c r="N68" i="26"/>
  <c r="M68" i="26"/>
  <c r="L68" i="26"/>
  <c r="K68" i="26"/>
  <c r="I68" i="26"/>
  <c r="H68" i="26"/>
  <c r="F68" i="26"/>
  <c r="E68" i="26"/>
  <c r="C68" i="26"/>
  <c r="B68" i="26"/>
  <c r="AH67" i="26"/>
  <c r="AC67" i="26"/>
  <c r="V67" i="26"/>
  <c r="P67" i="26"/>
  <c r="J67" i="26"/>
  <c r="G67" i="26"/>
  <c r="D67" i="26"/>
  <c r="AH66" i="26"/>
  <c r="AC66" i="26"/>
  <c r="AA66" i="26"/>
  <c r="AA68" i="26" s="1"/>
  <c r="V66" i="26"/>
  <c r="P66" i="26"/>
  <c r="J66" i="26"/>
  <c r="G66" i="26"/>
  <c r="D66" i="26"/>
  <c r="AH65" i="26"/>
  <c r="AC65" i="26"/>
  <c r="AB65" i="26"/>
  <c r="V65" i="26"/>
  <c r="V68" i="26" s="1"/>
  <c r="P65" i="26"/>
  <c r="P68" i="26" s="1"/>
  <c r="J65" i="26"/>
  <c r="G65" i="26"/>
  <c r="G68" i="26" s="1"/>
  <c r="D65" i="26"/>
  <c r="D68" i="26" s="1"/>
  <c r="AG64" i="26"/>
  <c r="AF64" i="26"/>
  <c r="AE64" i="26"/>
  <c r="AD64" i="26"/>
  <c r="AA64" i="26"/>
  <c r="Z64" i="26"/>
  <c r="Y64" i="26"/>
  <c r="X64" i="26"/>
  <c r="W64" i="26"/>
  <c r="U64" i="26"/>
  <c r="T64" i="26"/>
  <c r="S64" i="26"/>
  <c r="R64" i="26"/>
  <c r="Q64" i="26"/>
  <c r="O64" i="26"/>
  <c r="N64" i="26"/>
  <c r="M64" i="26"/>
  <c r="L64" i="26"/>
  <c r="K64" i="26"/>
  <c r="I64" i="26"/>
  <c r="H64" i="26"/>
  <c r="F64" i="26"/>
  <c r="E64" i="26"/>
  <c r="C64" i="26"/>
  <c r="B64" i="26"/>
  <c r="AH63" i="26"/>
  <c r="AC63" i="26"/>
  <c r="AB63" i="26"/>
  <c r="V63" i="26"/>
  <c r="P63" i="26"/>
  <c r="J63" i="26"/>
  <c r="G63" i="26"/>
  <c r="D63" i="26"/>
  <c r="AH62" i="26"/>
  <c r="AC62" i="26"/>
  <c r="AB62" i="26"/>
  <c r="V62" i="26"/>
  <c r="P62" i="26"/>
  <c r="J62" i="26"/>
  <c r="G62" i="26"/>
  <c r="D62" i="26"/>
  <c r="AH61" i="26"/>
  <c r="AH64" i="26" s="1"/>
  <c r="AC61" i="26"/>
  <c r="AC64" i="26" s="1"/>
  <c r="AB61" i="26"/>
  <c r="AB64" i="26" s="1"/>
  <c r="V61" i="26"/>
  <c r="V64" i="26" s="1"/>
  <c r="P61" i="26"/>
  <c r="P64" i="26" s="1"/>
  <c r="J61" i="26"/>
  <c r="J64" i="26" s="1"/>
  <c r="G61" i="26"/>
  <c r="G64" i="26" s="1"/>
  <c r="D61" i="26"/>
  <c r="D64" i="26" s="1"/>
  <c r="AE60" i="26"/>
  <c r="AD60" i="26"/>
  <c r="AA60" i="26"/>
  <c r="Z60" i="26"/>
  <c r="W60" i="26"/>
  <c r="U60" i="26"/>
  <c r="T60" i="26"/>
  <c r="S60" i="26"/>
  <c r="R60" i="26"/>
  <c r="Q60" i="26"/>
  <c r="O60" i="26"/>
  <c r="N60" i="26"/>
  <c r="M60" i="26"/>
  <c r="L60" i="26"/>
  <c r="K60" i="26"/>
  <c r="I60" i="26"/>
  <c r="H60" i="26"/>
  <c r="F60" i="26"/>
  <c r="E60" i="26"/>
  <c r="C60" i="26"/>
  <c r="B60" i="26"/>
  <c r="AC59" i="26"/>
  <c r="AB59" i="26"/>
  <c r="X59" i="26"/>
  <c r="V59" i="26"/>
  <c r="P59" i="26"/>
  <c r="J59" i="26"/>
  <c r="G59" i="26"/>
  <c r="D59" i="26"/>
  <c r="AC58" i="26"/>
  <c r="AB58" i="26"/>
  <c r="Y58" i="26"/>
  <c r="V58" i="26"/>
  <c r="P58" i="26"/>
  <c r="J58" i="26"/>
  <c r="G58" i="26"/>
  <c r="D58" i="26"/>
  <c r="AC57" i="26"/>
  <c r="AC60" i="26" s="1"/>
  <c r="AB57" i="26"/>
  <c r="AB60" i="26" s="1"/>
  <c r="Y57" i="26"/>
  <c r="V57" i="26"/>
  <c r="V60" i="26" s="1"/>
  <c r="P57" i="26"/>
  <c r="P60" i="26" s="1"/>
  <c r="J57" i="26"/>
  <c r="J60" i="26" s="1"/>
  <c r="G57" i="26"/>
  <c r="D57" i="26"/>
  <c r="AE55" i="26"/>
  <c r="AD55" i="26"/>
  <c r="AA55" i="26"/>
  <c r="Z55" i="26"/>
  <c r="X55" i="26"/>
  <c r="W55" i="26"/>
  <c r="U55" i="26"/>
  <c r="T55" i="26"/>
  <c r="S55" i="26"/>
  <c r="R55" i="26"/>
  <c r="Q55" i="26"/>
  <c r="O55" i="26"/>
  <c r="N55" i="26"/>
  <c r="M55" i="26"/>
  <c r="L55" i="26"/>
  <c r="K55" i="26"/>
  <c r="I55" i="26"/>
  <c r="H55" i="26"/>
  <c r="F55" i="26"/>
  <c r="E55" i="26"/>
  <c r="C55" i="26"/>
  <c r="B55" i="26"/>
  <c r="AC54" i="26"/>
  <c r="AB54" i="26"/>
  <c r="Y54" i="26"/>
  <c r="V54" i="26"/>
  <c r="P54" i="26"/>
  <c r="J54" i="26"/>
  <c r="G54" i="26"/>
  <c r="D54" i="26"/>
  <c r="AC53" i="26"/>
  <c r="AB53" i="26"/>
  <c r="Y53" i="26"/>
  <c r="V53" i="26"/>
  <c r="P53" i="26"/>
  <c r="J53" i="26"/>
  <c r="G53" i="26"/>
  <c r="D53" i="26"/>
  <c r="AC52" i="26"/>
  <c r="AB52" i="26"/>
  <c r="AB55" i="26" s="1"/>
  <c r="Y52" i="26"/>
  <c r="Y55" i="26" s="1"/>
  <c r="V52" i="26"/>
  <c r="V55" i="26" s="1"/>
  <c r="P52" i="26"/>
  <c r="P55" i="26" s="1"/>
  <c r="J52" i="26"/>
  <c r="J55" i="26" s="1"/>
  <c r="G52" i="26"/>
  <c r="G55" i="26" s="1"/>
  <c r="D52" i="26"/>
  <c r="D55" i="26" s="1"/>
  <c r="AE51" i="26"/>
  <c r="AD51" i="26"/>
  <c r="AA51" i="26"/>
  <c r="Z51" i="26"/>
  <c r="X51" i="26"/>
  <c r="W51" i="26"/>
  <c r="U51" i="26"/>
  <c r="T51" i="26"/>
  <c r="R51" i="26"/>
  <c r="Q51" i="26"/>
  <c r="O51" i="26"/>
  <c r="N51" i="26"/>
  <c r="M51" i="26"/>
  <c r="L51" i="26"/>
  <c r="K51" i="26"/>
  <c r="I51" i="26"/>
  <c r="H51" i="26"/>
  <c r="F51" i="26"/>
  <c r="E51" i="26"/>
  <c r="C51" i="26"/>
  <c r="B51" i="26"/>
  <c r="AC50" i="26"/>
  <c r="AB50" i="26"/>
  <c r="AB51" i="26" s="1"/>
  <c r="Y50" i="26"/>
  <c r="V50" i="26"/>
  <c r="P50" i="26"/>
  <c r="J50" i="26"/>
  <c r="G50" i="26"/>
  <c r="D50" i="26"/>
  <c r="AC49" i="26"/>
  <c r="Y49" i="26"/>
  <c r="V49" i="26"/>
  <c r="S49" i="26"/>
  <c r="P49" i="26"/>
  <c r="J49" i="26"/>
  <c r="G49" i="26"/>
  <c r="D49" i="26"/>
  <c r="AC48" i="26"/>
  <c r="AC51" i="26" s="1"/>
  <c r="Y48" i="26"/>
  <c r="V48" i="26"/>
  <c r="S48" i="26"/>
  <c r="S51" i="26" s="1"/>
  <c r="P48" i="26"/>
  <c r="P51" i="26" s="1"/>
  <c r="J48" i="26"/>
  <c r="J51" i="26" s="1"/>
  <c r="G48" i="26"/>
  <c r="G51" i="26" s="1"/>
  <c r="D48" i="26"/>
  <c r="D51" i="26" s="1"/>
  <c r="AE47" i="26"/>
  <c r="AD47" i="26"/>
  <c r="AB47" i="26"/>
  <c r="AA47" i="26"/>
  <c r="Z47" i="26"/>
  <c r="X47" i="26"/>
  <c r="W47" i="26"/>
  <c r="U47" i="26"/>
  <c r="T47" i="26"/>
  <c r="R47" i="26"/>
  <c r="Q47" i="26"/>
  <c r="O47" i="26"/>
  <c r="N47" i="26"/>
  <c r="M47" i="26"/>
  <c r="L47" i="26"/>
  <c r="K47" i="26"/>
  <c r="I47" i="26"/>
  <c r="H47" i="26"/>
  <c r="F47" i="26"/>
  <c r="E47" i="26"/>
  <c r="C47" i="26"/>
  <c r="B47" i="26"/>
  <c r="AC46" i="26"/>
  <c r="Y46" i="26"/>
  <c r="V46" i="26"/>
  <c r="S46" i="26"/>
  <c r="P46" i="26"/>
  <c r="J46" i="26"/>
  <c r="G46" i="26"/>
  <c r="D46" i="26"/>
  <c r="AC45" i="26"/>
  <c r="Y45" i="26"/>
  <c r="V45" i="26"/>
  <c r="S45" i="26"/>
  <c r="P45" i="26"/>
  <c r="J45" i="26"/>
  <c r="G45" i="26"/>
  <c r="D45" i="26"/>
  <c r="AC44" i="26"/>
  <c r="AC47" i="26" s="1"/>
  <c r="Y44" i="26"/>
  <c r="Y47" i="26" s="1"/>
  <c r="V44" i="26"/>
  <c r="V47" i="26" s="1"/>
  <c r="S44" i="26"/>
  <c r="S47" i="26" s="1"/>
  <c r="P44" i="26"/>
  <c r="P47" i="26" s="1"/>
  <c r="J44" i="26"/>
  <c r="J47" i="26" s="1"/>
  <c r="G44" i="26"/>
  <c r="G47" i="26" s="1"/>
  <c r="D44" i="26"/>
  <c r="D47" i="26" s="1"/>
  <c r="AB43" i="26"/>
  <c r="AA43" i="26"/>
  <c r="Z43" i="26"/>
  <c r="Y43" i="26"/>
  <c r="X43" i="26"/>
  <c r="W43" i="26"/>
  <c r="U43" i="26"/>
  <c r="T43" i="26"/>
  <c r="R43" i="26"/>
  <c r="Q43" i="26"/>
  <c r="O43" i="26"/>
  <c r="N43" i="26"/>
  <c r="M43" i="26"/>
  <c r="L43" i="26"/>
  <c r="K43" i="26"/>
  <c r="I43" i="26"/>
  <c r="H43" i="26"/>
  <c r="F43" i="26"/>
  <c r="E43" i="26"/>
  <c r="C43" i="26"/>
  <c r="B43" i="26"/>
  <c r="V42" i="26"/>
  <c r="S42" i="26"/>
  <c r="P42" i="26"/>
  <c r="J42" i="26"/>
  <c r="G42" i="26"/>
  <c r="D42" i="26"/>
  <c r="V41" i="26"/>
  <c r="S41" i="26"/>
  <c r="P41" i="26"/>
  <c r="J41" i="26"/>
  <c r="G41" i="26"/>
  <c r="D41" i="26"/>
  <c r="V40" i="26"/>
  <c r="S40" i="26"/>
  <c r="P40" i="26"/>
  <c r="J40" i="26"/>
  <c r="G40" i="26"/>
  <c r="D40" i="26"/>
  <c r="U38" i="26"/>
  <c r="R38" i="26"/>
  <c r="S38" i="26" s="1"/>
  <c r="O38" i="26"/>
  <c r="N38" i="26"/>
  <c r="I38" i="26"/>
  <c r="H38" i="26"/>
  <c r="F38" i="26"/>
  <c r="E38" i="26"/>
  <c r="C38" i="26"/>
  <c r="B38" i="26"/>
  <c r="V37" i="26"/>
  <c r="S37" i="26"/>
  <c r="P37" i="26"/>
  <c r="J37" i="26"/>
  <c r="G37" i="26"/>
  <c r="D37" i="26"/>
  <c r="V36" i="26"/>
  <c r="S36" i="26"/>
  <c r="P36" i="26"/>
  <c r="J36" i="26"/>
  <c r="G36" i="26"/>
  <c r="D36" i="26"/>
  <c r="S35" i="26"/>
  <c r="P35" i="26"/>
  <c r="J35" i="26"/>
  <c r="G35" i="26"/>
  <c r="D35" i="26"/>
  <c r="R34" i="26"/>
  <c r="S34" i="26" s="1"/>
  <c r="O34" i="26"/>
  <c r="N34" i="26"/>
  <c r="L34" i="26"/>
  <c r="K34" i="26"/>
  <c r="I34" i="26"/>
  <c r="H34" i="26"/>
  <c r="F34" i="26"/>
  <c r="E34" i="26"/>
  <c r="C34" i="26"/>
  <c r="B34" i="26"/>
  <c r="S33" i="26"/>
  <c r="P33" i="26"/>
  <c r="J33" i="26"/>
  <c r="G33" i="26"/>
  <c r="D33" i="26"/>
  <c r="S32" i="26"/>
  <c r="P32" i="26"/>
  <c r="J32" i="26"/>
  <c r="G32" i="26"/>
  <c r="D32" i="26"/>
  <c r="P31" i="26"/>
  <c r="M31" i="26"/>
  <c r="M34" i="26" s="1"/>
  <c r="J31" i="26"/>
  <c r="G31" i="26"/>
  <c r="D31" i="26"/>
  <c r="O30" i="26"/>
  <c r="N30" i="26"/>
  <c r="L30" i="26"/>
  <c r="K30" i="26"/>
  <c r="I30" i="26"/>
  <c r="H30" i="26"/>
  <c r="F30" i="26"/>
  <c r="E30" i="26"/>
  <c r="C30" i="26"/>
  <c r="B30" i="26"/>
  <c r="P29" i="26"/>
  <c r="P30" i="26" s="1"/>
  <c r="M29" i="26"/>
  <c r="J29" i="26"/>
  <c r="G29" i="26"/>
  <c r="D29" i="26"/>
  <c r="M28" i="26"/>
  <c r="J28" i="26"/>
  <c r="G28" i="26"/>
  <c r="D28" i="26"/>
  <c r="M27" i="26"/>
  <c r="J27" i="26"/>
  <c r="J30" i="26" s="1"/>
  <c r="G27" i="26"/>
  <c r="G30" i="26" s="1"/>
  <c r="D27" i="26"/>
  <c r="D30" i="26" s="1"/>
  <c r="L26" i="26"/>
  <c r="K26" i="26"/>
  <c r="I26" i="26"/>
  <c r="H26" i="26"/>
  <c r="F26" i="26"/>
  <c r="E26" i="26"/>
  <c r="C26" i="26"/>
  <c r="B26" i="26"/>
  <c r="M25" i="26"/>
  <c r="J25" i="26"/>
  <c r="G25" i="26"/>
  <c r="D25" i="26"/>
  <c r="M24" i="26"/>
  <c r="J24" i="26"/>
  <c r="G24" i="26"/>
  <c r="D24" i="26"/>
  <c r="M23" i="26"/>
  <c r="M26" i="26" s="1"/>
  <c r="J23" i="26"/>
  <c r="J26" i="26" s="1"/>
  <c r="G23" i="26"/>
  <c r="G26" i="26" s="1"/>
  <c r="D23" i="26"/>
  <c r="L22" i="26"/>
  <c r="K22" i="26"/>
  <c r="I22" i="26"/>
  <c r="H22" i="26"/>
  <c r="F22" i="26"/>
  <c r="E22" i="26"/>
  <c r="C22" i="26"/>
  <c r="B22" i="26"/>
  <c r="M21" i="26"/>
  <c r="J21" i="26"/>
  <c r="G21" i="26"/>
  <c r="D21" i="26"/>
  <c r="M20" i="26"/>
  <c r="J20" i="26"/>
  <c r="G20" i="26"/>
  <c r="D20" i="26"/>
  <c r="M19" i="26"/>
  <c r="D19" i="26"/>
  <c r="M18" i="26"/>
  <c r="D18" i="26"/>
  <c r="M17" i="26"/>
  <c r="D17" i="26"/>
  <c r="M16" i="26"/>
  <c r="D16" i="26"/>
  <c r="D15" i="26"/>
  <c r="D14" i="26"/>
  <c r="D13" i="26"/>
  <c r="AI12" i="26"/>
  <c r="AI13" i="26" s="1"/>
  <c r="AI14" i="26" s="1"/>
  <c r="AI15" i="26" s="1"/>
  <c r="AI16" i="26" s="1"/>
  <c r="AI17" i="26" s="1"/>
  <c r="AI18" i="26" s="1"/>
  <c r="AI19" i="26" s="1"/>
  <c r="AI20" i="26" s="1"/>
  <c r="AI21" i="26" s="1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D11" i="26"/>
  <c r="D10" i="26"/>
  <c r="C9" i="26"/>
  <c r="B9" i="26"/>
  <c r="AI8" i="26"/>
  <c r="D8" i="26"/>
  <c r="A8" i="26"/>
  <c r="D7" i="26"/>
  <c r="D6" i="26"/>
  <c r="D5" i="26"/>
  <c r="Y51" i="26" l="1"/>
  <c r="W124" i="26"/>
  <c r="AA124" i="26"/>
  <c r="G77" i="26"/>
  <c r="G85" i="26"/>
  <c r="V115" i="26"/>
  <c r="M30" i="26"/>
  <c r="M39" i="26" s="1"/>
  <c r="N39" i="26"/>
  <c r="C73" i="26"/>
  <c r="P94" i="26"/>
  <c r="P98" i="26"/>
  <c r="AL98" i="26" s="1"/>
  <c r="P102" i="26"/>
  <c r="P106" i="26"/>
  <c r="C9" i="27"/>
  <c r="B21" i="27"/>
  <c r="O39" i="26"/>
  <c r="AH68" i="26"/>
  <c r="K73" i="26"/>
  <c r="O90" i="26"/>
  <c r="AC55" i="26"/>
  <c r="AC56" i="26" s="1"/>
  <c r="J77" i="26"/>
  <c r="S124" i="26"/>
  <c r="J38" i="26"/>
  <c r="G38" i="26"/>
  <c r="AK38" i="26" s="1"/>
  <c r="J43" i="26"/>
  <c r="R56" i="26"/>
  <c r="F56" i="26"/>
  <c r="T90" i="26"/>
  <c r="T124" i="26"/>
  <c r="AC123" i="26"/>
  <c r="AL123" i="26" s="1"/>
  <c r="G22" i="26"/>
  <c r="D34" i="26"/>
  <c r="P34" i="26"/>
  <c r="D38" i="26"/>
  <c r="P43" i="26"/>
  <c r="P56" i="26" s="1"/>
  <c r="AK51" i="26"/>
  <c r="AJ51" i="26"/>
  <c r="W73" i="26"/>
  <c r="J72" i="26"/>
  <c r="V72" i="26"/>
  <c r="G81" i="26"/>
  <c r="AC81" i="26"/>
  <c r="P81" i="26"/>
  <c r="AJ89" i="26"/>
  <c r="P111" i="26"/>
  <c r="Q124" i="26"/>
  <c r="U124" i="26"/>
  <c r="AE124" i="26"/>
  <c r="AC119" i="26"/>
  <c r="AK119" i="26"/>
  <c r="J56" i="26"/>
  <c r="H107" i="26"/>
  <c r="C39" i="26"/>
  <c r="N56" i="26"/>
  <c r="E39" i="26"/>
  <c r="H39" i="26"/>
  <c r="D43" i="26"/>
  <c r="AJ47" i="26"/>
  <c r="K56" i="26"/>
  <c r="AE56" i="26"/>
  <c r="AK55" i="26"/>
  <c r="L73" i="26"/>
  <c r="AA73" i="26"/>
  <c r="D77" i="26"/>
  <c r="F90" i="26"/>
  <c r="I90" i="26"/>
  <c r="X90" i="26"/>
  <c r="AG90" i="26"/>
  <c r="D85" i="26"/>
  <c r="V98" i="26"/>
  <c r="V106" i="26"/>
  <c r="AK30" i="26"/>
  <c r="U90" i="26"/>
  <c r="I56" i="26"/>
  <c r="AJ34" i="26"/>
  <c r="S43" i="26"/>
  <c r="E56" i="26"/>
  <c r="O73" i="26"/>
  <c r="P72" i="26"/>
  <c r="G72" i="26"/>
  <c r="V77" i="26"/>
  <c r="AB90" i="26"/>
  <c r="J85" i="26"/>
  <c r="P85" i="26"/>
  <c r="G89" i="26"/>
  <c r="G90" i="26" s="1"/>
  <c r="V94" i="26"/>
  <c r="AL94" i="26" s="1"/>
  <c r="V102" i="26"/>
  <c r="V111" i="26"/>
  <c r="V124" i="26" s="1"/>
  <c r="N124" i="26"/>
  <c r="D22" i="26"/>
  <c r="M22" i="26"/>
  <c r="AJ30" i="26"/>
  <c r="AJ38" i="26"/>
  <c r="G43" i="26"/>
  <c r="G56" i="26" s="1"/>
  <c r="V43" i="26"/>
  <c r="L56" i="26"/>
  <c r="U56" i="26"/>
  <c r="Z56" i="26"/>
  <c r="AA56" i="26"/>
  <c r="V51" i="26"/>
  <c r="AL51" i="26" s="1"/>
  <c r="R73" i="26"/>
  <c r="J68" i="26"/>
  <c r="J73" i="26" s="1"/>
  <c r="AC68" i="26"/>
  <c r="AB66" i="26"/>
  <c r="AB68" i="26" s="1"/>
  <c r="AH72" i="26"/>
  <c r="AC77" i="26"/>
  <c r="AH77" i="26"/>
  <c r="AH90" i="26" s="1"/>
  <c r="K90" i="26"/>
  <c r="AD90" i="26"/>
  <c r="D81" i="26"/>
  <c r="AL81" i="26" s="1"/>
  <c r="V81" i="26"/>
  <c r="E90" i="26"/>
  <c r="Y90" i="26"/>
  <c r="AC85" i="26"/>
  <c r="P89" i="26"/>
  <c r="AC111" i="26"/>
  <c r="AL111" i="26" s="1"/>
  <c r="AC115" i="26"/>
  <c r="AJ119" i="26"/>
  <c r="D26" i="26"/>
  <c r="AL34" i="26"/>
  <c r="W56" i="26"/>
  <c r="W4" i="26" s="1"/>
  <c r="AB56" i="26"/>
  <c r="G60" i="26"/>
  <c r="G73" i="26" s="1"/>
  <c r="Q90" i="26"/>
  <c r="I39" i="26"/>
  <c r="L39" i="26"/>
  <c r="AD56" i="26"/>
  <c r="S73" i="26"/>
  <c r="AH73" i="26"/>
  <c r="T73" i="26"/>
  <c r="Z73" i="26"/>
  <c r="M90" i="26"/>
  <c r="AF90" i="26"/>
  <c r="L90" i="26"/>
  <c r="AE90" i="26"/>
  <c r="AC94" i="26"/>
  <c r="J98" i="26"/>
  <c r="AC98" i="26"/>
  <c r="J102" i="26"/>
  <c r="AC102" i="26"/>
  <c r="AL102" i="26" s="1"/>
  <c r="J106" i="26"/>
  <c r="AC106" i="26"/>
  <c r="R124" i="26"/>
  <c r="P115" i="26"/>
  <c r="AL115" i="26" s="1"/>
  <c r="AL119" i="26"/>
  <c r="D56" i="26"/>
  <c r="AL43" i="26"/>
  <c r="AL47" i="26"/>
  <c r="AK85" i="26"/>
  <c r="X60" i="26"/>
  <c r="X73" i="26" s="1"/>
  <c r="Y59" i="26"/>
  <c r="Y60" i="26" s="1"/>
  <c r="Y73" i="26" s="1"/>
  <c r="J22" i="26"/>
  <c r="AJ22" i="26"/>
  <c r="U39" i="26"/>
  <c r="V38" i="26"/>
  <c r="H56" i="26"/>
  <c r="M56" i="26"/>
  <c r="Q56" i="26"/>
  <c r="C56" i="26"/>
  <c r="AK47" i="26"/>
  <c r="AJ55" i="26"/>
  <c r="AL64" i="26"/>
  <c r="AJ64" i="26"/>
  <c r="H90" i="26"/>
  <c r="AJ85" i="26"/>
  <c r="F39" i="26"/>
  <c r="AJ26" i="26"/>
  <c r="G34" i="26"/>
  <c r="AK34" i="26" s="1"/>
  <c r="S56" i="26"/>
  <c r="X56" i="26"/>
  <c r="B56" i="26"/>
  <c r="P73" i="26"/>
  <c r="F73" i="26"/>
  <c r="N73" i="26"/>
  <c r="AD73" i="26"/>
  <c r="AK64" i="26"/>
  <c r="D72" i="26"/>
  <c r="B73" i="26"/>
  <c r="B90" i="26"/>
  <c r="AJ77" i="26"/>
  <c r="G94" i="26"/>
  <c r="Q107" i="26"/>
  <c r="AJ107" i="26" s="1"/>
  <c r="U107" i="26"/>
  <c r="AC128" i="26"/>
  <c r="AL128" i="26" s="1"/>
  <c r="D9" i="26"/>
  <c r="AK22" i="26"/>
  <c r="AL26" i="26"/>
  <c r="B39" i="26"/>
  <c r="K39" i="26"/>
  <c r="AK26" i="26"/>
  <c r="J34" i="26"/>
  <c r="J39" i="26" s="1"/>
  <c r="P38" i="26"/>
  <c r="R39" i="26"/>
  <c r="AK43" i="26"/>
  <c r="O56" i="26"/>
  <c r="T56" i="26"/>
  <c r="Y56" i="26"/>
  <c r="AJ43" i="26"/>
  <c r="V73" i="26"/>
  <c r="AJ60" i="26"/>
  <c r="AE73" i="26"/>
  <c r="J89" i="26"/>
  <c r="AC89" i="26"/>
  <c r="M107" i="26"/>
  <c r="AJ111" i="26"/>
  <c r="D60" i="26"/>
  <c r="Q73" i="26"/>
  <c r="U73" i="26"/>
  <c r="H73" i="26"/>
  <c r="AC72" i="26"/>
  <c r="AC73" i="26" s="1"/>
  <c r="AL77" i="26"/>
  <c r="P77" i="26"/>
  <c r="P90" i="26" s="1"/>
  <c r="AK77" i="26"/>
  <c r="J81" i="26"/>
  <c r="AK81" i="26" s="1"/>
  <c r="AJ81" i="26"/>
  <c r="V85" i="26"/>
  <c r="V89" i="26"/>
  <c r="AL89" i="26"/>
  <c r="J94" i="26"/>
  <c r="J107" i="26" s="1"/>
  <c r="AK111" i="26"/>
  <c r="AJ115" i="26"/>
  <c r="E73" i="26"/>
  <c r="I73" i="26"/>
  <c r="M73" i="26"/>
  <c r="AG73" i="26"/>
  <c r="AJ68" i="26"/>
  <c r="AK72" i="26"/>
  <c r="C90" i="26"/>
  <c r="G98" i="26"/>
  <c r="AK98" i="26" s="1"/>
  <c r="H63" i="20" s="1"/>
  <c r="AJ98" i="26"/>
  <c r="H60" i="18" s="1"/>
  <c r="G102" i="26"/>
  <c r="AK102" i="26" s="1"/>
  <c r="I63" i="20" s="1"/>
  <c r="AJ102" i="26"/>
  <c r="I60" i="18" s="1"/>
  <c r="G106" i="26"/>
  <c r="AK106" i="26" s="1"/>
  <c r="J63" i="20" s="1"/>
  <c r="AJ106" i="26"/>
  <c r="J60" i="18" s="1"/>
  <c r="Y124" i="26"/>
  <c r="AD124" i="26"/>
  <c r="AK115" i="26"/>
  <c r="O124" i="26"/>
  <c r="AF72" i="26"/>
  <c r="AF73" i="26" s="1"/>
  <c r="AJ94" i="26"/>
  <c r="AK124" i="26" l="1"/>
  <c r="G64" i="14" s="1"/>
  <c r="E4" i="26"/>
  <c r="AL55" i="26"/>
  <c r="AH4" i="26"/>
  <c r="D90" i="26"/>
  <c r="AE4" i="26"/>
  <c r="C4" i="26"/>
  <c r="T4" i="26"/>
  <c r="AL30" i="26"/>
  <c r="AA4" i="26"/>
  <c r="P107" i="26"/>
  <c r="AC90" i="26"/>
  <c r="D39" i="26"/>
  <c r="B9" i="27"/>
  <c r="K4" i="26"/>
  <c r="AJ90" i="26"/>
  <c r="H4" i="26"/>
  <c r="AL106" i="26"/>
  <c r="AG4" i="26"/>
  <c r="AF4" i="26"/>
  <c r="AK89" i="26"/>
  <c r="AL38" i="26"/>
  <c r="AK60" i="26"/>
  <c r="Z4" i="26"/>
  <c r="AC124" i="26"/>
  <c r="V56" i="26"/>
  <c r="N4" i="26"/>
  <c r="AL22" i="26"/>
  <c r="AJ124" i="26"/>
  <c r="I4" i="26"/>
  <c r="AL85" i="26"/>
  <c r="O4" i="26"/>
  <c r="AL125" i="26"/>
  <c r="V107" i="26"/>
  <c r="AL68" i="26"/>
  <c r="AB73" i="26"/>
  <c r="AB4" i="26" s="1"/>
  <c r="AJ108" i="26"/>
  <c r="G60" i="18"/>
  <c r="AK68" i="26"/>
  <c r="AD4" i="26"/>
  <c r="AJ56" i="26"/>
  <c r="M4" i="26"/>
  <c r="AK74" i="26"/>
  <c r="AC107" i="26"/>
  <c r="AC4" i="26" s="1"/>
  <c r="P124" i="26"/>
  <c r="AL124" i="26" s="1"/>
  <c r="AK73" i="26"/>
  <c r="F4" i="26"/>
  <c r="L4" i="26"/>
  <c r="AL91" i="26"/>
  <c r="Y4" i="26"/>
  <c r="S39" i="26"/>
  <c r="S4" i="26" s="1"/>
  <c r="R4" i="26"/>
  <c r="AK125" i="26"/>
  <c r="AJ72" i="26"/>
  <c r="AJ74" i="26" s="1"/>
  <c r="AJ39" i="26"/>
  <c r="AJ73" i="26"/>
  <c r="V90" i="26"/>
  <c r="AL90" i="26" s="1"/>
  <c r="P39" i="26"/>
  <c r="G39" i="26"/>
  <c r="AL108" i="26"/>
  <c r="AK91" i="26"/>
  <c r="D73" i="26"/>
  <c r="AL60" i="26"/>
  <c r="G107" i="26"/>
  <c r="AK107" i="26" s="1"/>
  <c r="AK94" i="26"/>
  <c r="AL72" i="26"/>
  <c r="X4" i="26"/>
  <c r="AK56" i="26"/>
  <c r="B4" i="26"/>
  <c r="AL57" i="26"/>
  <c r="AJ125" i="26"/>
  <c r="AJ57" i="26"/>
  <c r="AK57" i="26"/>
  <c r="AJ91" i="26"/>
  <c r="J90" i="26"/>
  <c r="AK90" i="26" s="1"/>
  <c r="Q4" i="26"/>
  <c r="V39" i="26"/>
  <c r="U4" i="26"/>
  <c r="AL56" i="26"/>
  <c r="AL73" i="26" l="1"/>
  <c r="V4" i="26"/>
  <c r="P4" i="26"/>
  <c r="AL107" i="26"/>
  <c r="J4" i="26"/>
  <c r="AK108" i="26"/>
  <c r="G63" i="20"/>
  <c r="AL74" i="26"/>
  <c r="AL39" i="26"/>
  <c r="G4" i="26"/>
  <c r="AK39" i="26"/>
  <c r="D4" i="26"/>
  <c r="K54" i="10" l="1"/>
  <c r="F11" i="24" l="1"/>
  <c r="F56" i="23"/>
  <c r="F57" i="23"/>
  <c r="F58" i="23"/>
  <c r="F59" i="23"/>
  <c r="F60" i="23"/>
  <c r="F61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32" i="23" l="1"/>
  <c r="F94" i="20"/>
  <c r="G44" i="10"/>
  <c r="J44" i="10"/>
  <c r="M44" i="10"/>
  <c r="D44" i="10"/>
  <c r="B33" i="10" s="1"/>
  <c r="M67" i="10"/>
  <c r="F84" i="22"/>
  <c r="F85" i="22"/>
  <c r="F86" i="22"/>
  <c r="F72" i="22"/>
  <c r="F73" i="22"/>
  <c r="F74" i="22"/>
  <c r="F75" i="22"/>
  <c r="F76" i="22"/>
  <c r="F77" i="22"/>
  <c r="F62" i="22"/>
  <c r="F63" i="22"/>
  <c r="F64" i="22"/>
  <c r="F65" i="22"/>
  <c r="F66" i="22"/>
  <c r="F67" i="22"/>
  <c r="F68" i="22"/>
  <c r="F69" i="22"/>
  <c r="F70" i="22"/>
  <c r="C38" i="10" l="1"/>
  <c r="C43" i="10"/>
  <c r="C40" i="10"/>
  <c r="C34" i="10"/>
  <c r="C39" i="10"/>
  <c r="C42" i="10"/>
  <c r="C33" i="10"/>
  <c r="C41" i="10"/>
  <c r="C36" i="10"/>
  <c r="C35" i="10"/>
  <c r="C37" i="10"/>
  <c r="B43" i="10"/>
  <c r="B41" i="10"/>
  <c r="B37" i="10"/>
  <c r="B34" i="10"/>
  <c r="B38" i="10"/>
  <c r="B42" i="10"/>
  <c r="B35" i="10"/>
  <c r="B39" i="10"/>
  <c r="B36" i="10"/>
  <c r="B40" i="10"/>
  <c r="H20" i="18"/>
  <c r="I20" i="18"/>
  <c r="J20" i="18"/>
  <c r="G20" i="18"/>
  <c r="C44" i="10" l="1"/>
  <c r="B44" i="10"/>
  <c r="E114" i="14" l="1"/>
  <c r="E115" i="14"/>
  <c r="D10" i="19" l="1"/>
  <c r="E9" i="22"/>
  <c r="E10" i="22"/>
  <c r="E11" i="22"/>
  <c r="E12" i="22"/>
  <c r="E14" i="22"/>
  <c r="E15" i="22"/>
  <c r="E17" i="22"/>
  <c r="E19" i="22"/>
  <c r="E20" i="22"/>
  <c r="E22" i="22"/>
  <c r="E23" i="22"/>
  <c r="E24" i="22"/>
  <c r="E25" i="22"/>
  <c r="E29" i="22"/>
  <c r="E30" i="22"/>
  <c r="E31" i="22"/>
  <c r="E33" i="22"/>
  <c r="E36" i="22"/>
  <c r="E37" i="22"/>
  <c r="E39" i="22"/>
  <c r="C7" i="22"/>
  <c r="E10" i="19" l="1"/>
  <c r="D9" i="19"/>
  <c r="E9" i="19" s="1"/>
  <c r="C10" i="23"/>
  <c r="C64" i="20"/>
  <c r="F19" i="18" l="1"/>
  <c r="M19" i="18" s="1"/>
  <c r="I31" i="18" l="1"/>
  <c r="J31" i="18"/>
  <c r="H31" i="18"/>
  <c r="H26" i="18"/>
  <c r="I26" i="18"/>
  <c r="J26" i="18"/>
  <c r="G26" i="18"/>
  <c r="H23" i="18"/>
  <c r="I23" i="18"/>
  <c r="J23" i="18"/>
  <c r="G23" i="18"/>
  <c r="G7" i="22" l="1"/>
  <c r="H7" i="22"/>
  <c r="I7" i="22"/>
  <c r="J7" i="22"/>
  <c r="F45" i="22"/>
  <c r="C26" i="24"/>
  <c r="E9" i="24"/>
  <c r="F9" i="24"/>
  <c r="C8" i="24"/>
  <c r="E17" i="24"/>
  <c r="D65" i="10" l="1"/>
  <c r="M65" i="10" s="1"/>
  <c r="D64" i="10"/>
  <c r="M64" i="10" s="1"/>
  <c r="D63" i="10"/>
  <c r="M63" i="10" s="1"/>
  <c r="D62" i="10"/>
  <c r="M62" i="10" s="1"/>
  <c r="D61" i="10"/>
  <c r="J14" i="10"/>
  <c r="M61" i="10" l="1"/>
  <c r="D60" i="10"/>
  <c r="C9" i="21"/>
  <c r="C30" i="23" l="1"/>
  <c r="E100" i="14" l="1"/>
  <c r="E99" i="14"/>
  <c r="I44" i="18"/>
  <c r="R26" i="9"/>
  <c r="S26" i="9"/>
  <c r="T26" i="9"/>
  <c r="U26" i="9"/>
  <c r="Q26" i="9"/>
  <c r="F35" i="22" l="1"/>
  <c r="F36" i="22"/>
  <c r="F44" i="22"/>
  <c r="F11" i="22" l="1"/>
  <c r="R28" i="9" l="1"/>
  <c r="R30" i="9" s="1"/>
  <c r="S28" i="9"/>
  <c r="S30" i="9" s="1"/>
  <c r="T28" i="9"/>
  <c r="T30" i="9" s="1"/>
  <c r="U28" i="9"/>
  <c r="U30" i="9" s="1"/>
  <c r="D61" i="22" l="1"/>
  <c r="E61" i="22" s="1"/>
  <c r="C61" i="22"/>
  <c r="F25" i="10"/>
  <c r="F24" i="10"/>
  <c r="F23" i="10"/>
  <c r="H46" i="22"/>
  <c r="I46" i="22"/>
  <c r="J46" i="22"/>
  <c r="G46" i="22"/>
  <c r="K60" i="22"/>
  <c r="H93" i="20"/>
  <c r="I93" i="20"/>
  <c r="J93" i="20"/>
  <c r="G93" i="20"/>
  <c r="H92" i="20"/>
  <c r="H38" i="19" s="1"/>
  <c r="H30" i="18" s="1"/>
  <c r="I92" i="20"/>
  <c r="I38" i="19" s="1"/>
  <c r="I30" i="18" s="1"/>
  <c r="J92" i="20"/>
  <c r="J38" i="19" s="1"/>
  <c r="J30" i="18" s="1"/>
  <c r="G92" i="20"/>
  <c r="G38" i="19" s="1"/>
  <c r="G30" i="18" s="1"/>
  <c r="H91" i="20"/>
  <c r="H29" i="19" s="1"/>
  <c r="H24" i="18" s="1"/>
  <c r="I91" i="20"/>
  <c r="I29" i="19" s="1"/>
  <c r="I24" i="18" s="1"/>
  <c r="J91" i="20"/>
  <c r="J29" i="19" s="1"/>
  <c r="J24" i="18" s="1"/>
  <c r="G29" i="19"/>
  <c r="G24" i="18" s="1"/>
  <c r="G29" i="9"/>
  <c r="L29" i="9"/>
  <c r="Q29" i="9"/>
  <c r="Q28" i="9" s="1"/>
  <c r="V29" i="9"/>
  <c r="AB29" i="9"/>
  <c r="AB28" i="9" s="1"/>
  <c r="AC29" i="9"/>
  <c r="AC28" i="9" s="1"/>
  <c r="AD29" i="9"/>
  <c r="AD28" i="9" s="1"/>
  <c r="AE29" i="9"/>
  <c r="AE28" i="9" s="1"/>
  <c r="G21" i="18" l="1"/>
  <c r="I25" i="19"/>
  <c r="I29" i="18" s="1"/>
  <c r="H25" i="19"/>
  <c r="H29" i="18" s="1"/>
  <c r="G25" i="19"/>
  <c r="G29" i="18" s="1"/>
  <c r="J25" i="19"/>
  <c r="J29" i="18" s="1"/>
  <c r="AA29" i="9"/>
  <c r="AA28" i="9" s="1"/>
  <c r="C55" i="23"/>
  <c r="C28" i="23"/>
  <c r="E28" i="23"/>
  <c r="F28" i="23"/>
  <c r="C17" i="23"/>
  <c r="D17" i="23"/>
  <c r="E17" i="23" s="1"/>
  <c r="G17" i="23"/>
  <c r="H17" i="23"/>
  <c r="I17" i="23"/>
  <c r="J17" i="23"/>
  <c r="F17" i="23" l="1"/>
  <c r="G60" i="10" l="1"/>
  <c r="H49" i="23" l="1"/>
  <c r="I49" i="23"/>
  <c r="J49" i="23"/>
  <c r="G49" i="23"/>
  <c r="H30" i="23"/>
  <c r="I30" i="23"/>
  <c r="J30" i="23"/>
  <c r="G30" i="23"/>
  <c r="D50" i="23"/>
  <c r="D49" i="23" s="1"/>
  <c r="D30" i="23"/>
  <c r="D7" i="22" l="1"/>
  <c r="E16" i="22"/>
  <c r="J61" i="22"/>
  <c r="I61" i="22"/>
  <c r="H61" i="22"/>
  <c r="G61" i="22"/>
  <c r="F82" i="22"/>
  <c r="E82" i="22"/>
  <c r="F80" i="22"/>
  <c r="E80" i="22"/>
  <c r="J79" i="22"/>
  <c r="I79" i="22"/>
  <c r="H79" i="22"/>
  <c r="G79" i="22"/>
  <c r="D79" i="22"/>
  <c r="E79" i="22" s="1"/>
  <c r="C79" i="22"/>
  <c r="F61" i="22" l="1"/>
  <c r="F79" i="22"/>
  <c r="E104" i="14"/>
  <c r="F32" i="19" l="1"/>
  <c r="G19" i="20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8" i="22"/>
  <c r="F9" i="22"/>
  <c r="F10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8" i="22"/>
  <c r="F39" i="22"/>
  <c r="F7" i="22" l="1"/>
  <c r="H9" i="18"/>
  <c r="I9" i="18"/>
  <c r="J9" i="18"/>
  <c r="G9" i="18"/>
  <c r="M68" i="10" l="1"/>
  <c r="M69" i="10"/>
  <c r="M60" i="10"/>
  <c r="H20" i="24"/>
  <c r="I20" i="24"/>
  <c r="J20" i="24"/>
  <c r="G20" i="24"/>
  <c r="Q30" i="9"/>
  <c r="J62" i="18" l="1"/>
  <c r="AE26" i="9"/>
  <c r="AE30" i="9" s="1"/>
  <c r="AC26" i="9"/>
  <c r="AC30" i="9" s="1"/>
  <c r="AB26" i="9"/>
  <c r="AB30" i="9" s="1"/>
  <c r="AD26" i="9"/>
  <c r="AD30" i="9" s="1"/>
  <c r="AA27" i="9"/>
  <c r="H62" i="18" l="1"/>
  <c r="AA26" i="9"/>
  <c r="AA30" i="9" s="1"/>
  <c r="I62" i="18"/>
  <c r="E9" i="25"/>
  <c r="H11" i="10"/>
  <c r="H12" i="10"/>
  <c r="C55" i="27" s="1"/>
  <c r="L13" i="10"/>
  <c r="E13" i="24"/>
  <c r="E14" i="24"/>
  <c r="E15" i="24"/>
  <c r="E16" i="24"/>
  <c r="E18" i="24"/>
  <c r="E19" i="24"/>
  <c r="E21" i="24"/>
  <c r="E22" i="24"/>
  <c r="E20" i="24" s="1"/>
  <c r="E24" i="24"/>
  <c r="E32" i="24"/>
  <c r="E9" i="3"/>
  <c r="E10" i="3"/>
  <c r="E9" i="23"/>
  <c r="E14" i="23"/>
  <c r="E15" i="23"/>
  <c r="E24" i="23"/>
  <c r="E25" i="23"/>
  <c r="E31" i="23"/>
  <c r="E33" i="23"/>
  <c r="E34" i="23"/>
  <c r="E35" i="23"/>
  <c r="E36" i="23"/>
  <c r="E37" i="23"/>
  <c r="E38" i="23"/>
  <c r="E39" i="23"/>
  <c r="E40" i="23"/>
  <c r="E41" i="23"/>
  <c r="E51" i="23"/>
  <c r="E50" i="23"/>
  <c r="E49" i="23" s="1"/>
  <c r="E53" i="23"/>
  <c r="E63" i="23"/>
  <c r="E64" i="23"/>
  <c r="E65" i="23"/>
  <c r="E66" i="23"/>
  <c r="E67" i="23"/>
  <c r="E68" i="23"/>
  <c r="E69" i="23"/>
  <c r="E8" i="23"/>
  <c r="E37" i="18"/>
  <c r="E38" i="18"/>
  <c r="E39" i="18"/>
  <c r="E40" i="18"/>
  <c r="E43" i="18"/>
  <c r="E46" i="18"/>
  <c r="E47" i="18"/>
  <c r="E48" i="18"/>
  <c r="E49" i="18"/>
  <c r="E50" i="18"/>
  <c r="E51" i="18"/>
  <c r="E53" i="18"/>
  <c r="E55" i="18"/>
  <c r="E56" i="18"/>
  <c r="E57" i="18"/>
  <c r="E59" i="18"/>
  <c r="E61" i="18"/>
  <c r="E62" i="18"/>
  <c r="E63" i="18"/>
  <c r="E9" i="18"/>
  <c r="E10" i="18"/>
  <c r="E11" i="18"/>
  <c r="E12" i="18"/>
  <c r="E13" i="18"/>
  <c r="E14" i="18"/>
  <c r="E15" i="18"/>
  <c r="E16" i="18"/>
  <c r="E17" i="18"/>
  <c r="E22" i="18"/>
  <c r="E23" i="18"/>
  <c r="E25" i="18"/>
  <c r="E26" i="18"/>
  <c r="E27" i="18"/>
  <c r="E28" i="18"/>
  <c r="E31" i="18"/>
  <c r="E32" i="18"/>
  <c r="E33" i="18"/>
  <c r="E20" i="19"/>
  <c r="C89" i="27" s="1"/>
  <c r="E21" i="19"/>
  <c r="E22" i="19"/>
  <c r="E23" i="19"/>
  <c r="E24" i="19"/>
  <c r="E26" i="19"/>
  <c r="E28" i="19"/>
  <c r="E30" i="19"/>
  <c r="E31" i="19"/>
  <c r="C94" i="27" s="1"/>
  <c r="E32" i="19"/>
  <c r="E33" i="19"/>
  <c r="C96" i="27" s="1"/>
  <c r="E34" i="19"/>
  <c r="E35" i="19"/>
  <c r="E37" i="19"/>
  <c r="E39" i="19"/>
  <c r="C95" i="27" s="1"/>
  <c r="E41" i="19"/>
  <c r="E42" i="19"/>
  <c r="E11" i="19"/>
  <c r="E12" i="19"/>
  <c r="E13" i="19"/>
  <c r="E14" i="19"/>
  <c r="E15" i="19"/>
  <c r="E16" i="19"/>
  <c r="E8" i="22"/>
  <c r="E47" i="22"/>
  <c r="E48" i="22"/>
  <c r="E49" i="22"/>
  <c r="E50" i="22"/>
  <c r="E51" i="22"/>
  <c r="E52" i="22"/>
  <c r="E53" i="22"/>
  <c r="E54" i="22"/>
  <c r="E55" i="22"/>
  <c r="E57" i="22"/>
  <c r="E58" i="22"/>
  <c r="E59" i="22"/>
  <c r="E90" i="20" s="1"/>
  <c r="E11" i="20"/>
  <c r="E16" i="20"/>
  <c r="E17" i="20"/>
  <c r="E21" i="20"/>
  <c r="E22" i="20"/>
  <c r="E23" i="20"/>
  <c r="E24" i="20"/>
  <c r="E25" i="20"/>
  <c r="E91" i="20" s="1"/>
  <c r="E26" i="20"/>
  <c r="E92" i="20" s="1"/>
  <c r="E27" i="20"/>
  <c r="E29" i="20"/>
  <c r="E30" i="20"/>
  <c r="E31" i="20"/>
  <c r="E32" i="20"/>
  <c r="E33" i="20"/>
  <c r="E34" i="20"/>
  <c r="E35" i="20"/>
  <c r="E36" i="20"/>
  <c r="E38" i="20"/>
  <c r="E39" i="20"/>
  <c r="E42" i="20"/>
  <c r="E43" i="20"/>
  <c r="E44" i="20"/>
  <c r="E45" i="20"/>
  <c r="E46" i="20"/>
  <c r="E47" i="20"/>
  <c r="E49" i="20"/>
  <c r="E50" i="20"/>
  <c r="E51" i="20"/>
  <c r="E53" i="20"/>
  <c r="E54" i="20"/>
  <c r="E55" i="20"/>
  <c r="E56" i="20"/>
  <c r="E57" i="20"/>
  <c r="E58" i="20"/>
  <c r="E60" i="20"/>
  <c r="E61" i="20"/>
  <c r="E62" i="20"/>
  <c r="E63" i="20"/>
  <c r="C42" i="27" s="1"/>
  <c r="E65" i="20"/>
  <c r="E66" i="20"/>
  <c r="E68" i="20"/>
  <c r="E69" i="20"/>
  <c r="E71" i="20"/>
  <c r="C44" i="27" s="1"/>
  <c r="E72" i="20"/>
  <c r="E73" i="20"/>
  <c r="E74" i="20"/>
  <c r="E76" i="20"/>
  <c r="C77" i="27" s="1"/>
  <c r="E77" i="20"/>
  <c r="E80" i="20"/>
  <c r="E81" i="20"/>
  <c r="E89" i="20"/>
  <c r="E8" i="20"/>
  <c r="E93" i="20" l="1"/>
  <c r="E21" i="18"/>
  <c r="E18" i="18" s="1"/>
  <c r="C93" i="27"/>
  <c r="L11" i="10"/>
  <c r="C54" i="27"/>
  <c r="E30" i="23"/>
  <c r="G62" i="18"/>
  <c r="F62" i="18" s="1"/>
  <c r="H14" i="10"/>
  <c r="H10" i="10"/>
  <c r="E58" i="18"/>
  <c r="E54" i="18"/>
  <c r="C53" i="27" l="1"/>
  <c r="E64" i="18"/>
  <c r="D8" i="25"/>
  <c r="G8" i="25"/>
  <c r="G7" i="25" s="1"/>
  <c r="H8" i="25"/>
  <c r="H7" i="25" s="1"/>
  <c r="I8" i="25"/>
  <c r="I7" i="25" s="1"/>
  <c r="J8" i="25"/>
  <c r="J7" i="25" s="1"/>
  <c r="C8" i="25"/>
  <c r="C7" i="25" s="1"/>
  <c r="F28" i="24"/>
  <c r="D26" i="24"/>
  <c r="E26" i="24" s="1"/>
  <c r="G26" i="24"/>
  <c r="H26" i="24"/>
  <c r="I26" i="24"/>
  <c r="J26" i="24"/>
  <c r="F21" i="24"/>
  <c r="F22" i="24"/>
  <c r="F20" i="24" s="1"/>
  <c r="F12" i="24"/>
  <c r="F17" i="24"/>
  <c r="F18" i="24"/>
  <c r="F19" i="24"/>
  <c r="D10" i="24"/>
  <c r="E10" i="24" s="1"/>
  <c r="G10" i="24"/>
  <c r="H10" i="24"/>
  <c r="I10" i="24"/>
  <c r="J10" i="24"/>
  <c r="C10" i="24"/>
  <c r="F24" i="24"/>
  <c r="F32" i="24"/>
  <c r="D8" i="24"/>
  <c r="E8" i="24" s="1"/>
  <c r="G8" i="24"/>
  <c r="H8" i="24"/>
  <c r="I8" i="24"/>
  <c r="J8" i="24"/>
  <c r="F8" i="23"/>
  <c r="F9" i="23"/>
  <c r="F14" i="23"/>
  <c r="F15" i="23"/>
  <c r="F24" i="23"/>
  <c r="F25" i="23"/>
  <c r="F31" i="23"/>
  <c r="F50" i="23"/>
  <c r="F49" i="23" s="1"/>
  <c r="F63" i="23"/>
  <c r="F64" i="23"/>
  <c r="F65" i="23"/>
  <c r="F66" i="23"/>
  <c r="F67" i="23"/>
  <c r="F68" i="23"/>
  <c r="F69" i="23"/>
  <c r="D55" i="23"/>
  <c r="E55" i="23" s="1"/>
  <c r="G55" i="23"/>
  <c r="H55" i="23"/>
  <c r="I55" i="23"/>
  <c r="J55" i="23"/>
  <c r="D52" i="23"/>
  <c r="E52" i="23" s="1"/>
  <c r="G52" i="23"/>
  <c r="H52" i="23"/>
  <c r="I52" i="23"/>
  <c r="J52" i="23"/>
  <c r="C52" i="23"/>
  <c r="D10" i="23"/>
  <c r="E10" i="23" s="1"/>
  <c r="G10" i="23"/>
  <c r="H10" i="23"/>
  <c r="I10" i="23"/>
  <c r="J10" i="23"/>
  <c r="F52" i="23" l="1"/>
  <c r="F30" i="23"/>
  <c r="C27" i="23"/>
  <c r="C26" i="23" s="1"/>
  <c r="G27" i="23"/>
  <c r="G26" i="23" s="1"/>
  <c r="J7" i="24"/>
  <c r="J27" i="23"/>
  <c r="J26" i="23" s="1"/>
  <c r="I27" i="23"/>
  <c r="I26" i="23" s="1"/>
  <c r="E27" i="23"/>
  <c r="E26" i="23" s="1"/>
  <c r="D27" i="23"/>
  <c r="D26" i="23" s="1"/>
  <c r="H27" i="23"/>
  <c r="H26" i="23" s="1"/>
  <c r="E8" i="25"/>
  <c r="E7" i="25" s="1"/>
  <c r="D7" i="25"/>
  <c r="F55" i="23"/>
  <c r="I7" i="24"/>
  <c r="G7" i="24"/>
  <c r="H7" i="24"/>
  <c r="F26" i="24"/>
  <c r="F8" i="25"/>
  <c r="F7" i="25" s="1"/>
  <c r="C7" i="24"/>
  <c r="F10" i="24"/>
  <c r="D7" i="24"/>
  <c r="E7" i="24" s="1"/>
  <c r="F8" i="24"/>
  <c r="F10" i="23"/>
  <c r="D83" i="22"/>
  <c r="E83" i="22" s="1"/>
  <c r="C83" i="22"/>
  <c r="H83" i="22"/>
  <c r="I83" i="22"/>
  <c r="J83" i="22"/>
  <c r="G83" i="22"/>
  <c r="D71" i="22"/>
  <c r="E71" i="22" s="1"/>
  <c r="C71" i="22"/>
  <c r="F46" i="22"/>
  <c r="D46" i="22"/>
  <c r="E46" i="22" s="1"/>
  <c r="C46" i="22"/>
  <c r="F27" i="23" l="1"/>
  <c r="F26" i="23" s="1"/>
  <c r="F7" i="24"/>
  <c r="F83" i="22"/>
  <c r="F45" i="18" l="1"/>
  <c r="F46" i="18"/>
  <c r="E44" i="18"/>
  <c r="G44" i="18"/>
  <c r="H44" i="18"/>
  <c r="J44" i="18"/>
  <c r="F47" i="18"/>
  <c r="F44" i="18" l="1"/>
  <c r="F9" i="25"/>
  <c r="F71" i="22" l="1"/>
  <c r="D95" i="14" l="1"/>
  <c r="E95" i="14"/>
  <c r="E20" i="11" l="1"/>
  <c r="F20" i="11"/>
  <c r="E16" i="11"/>
  <c r="F16" i="11"/>
  <c r="G16" i="11"/>
  <c r="E15" i="11"/>
  <c r="F15" i="11"/>
  <c r="D15" i="11"/>
  <c r="D14" i="10" l="1"/>
  <c r="F10" i="10"/>
  <c r="F22" i="20"/>
  <c r="D58" i="18" l="1"/>
  <c r="G58" i="18"/>
  <c r="C58" i="18"/>
  <c r="F40" i="18"/>
  <c r="F43" i="18"/>
  <c r="F48" i="18"/>
  <c r="F49" i="18"/>
  <c r="F50" i="18"/>
  <c r="G42" i="18"/>
  <c r="G41" i="18" s="1"/>
  <c r="D42" i="18"/>
  <c r="E42" i="18" s="1"/>
  <c r="E41" i="18" s="1"/>
  <c r="H42" i="18"/>
  <c r="I42" i="18"/>
  <c r="J42" i="18"/>
  <c r="C42" i="18"/>
  <c r="C18" i="18"/>
  <c r="D8" i="18"/>
  <c r="E8" i="18" s="1"/>
  <c r="G8" i="18"/>
  <c r="H8" i="18"/>
  <c r="I8" i="18"/>
  <c r="J8" i="18"/>
  <c r="C8" i="18"/>
  <c r="F27" i="18"/>
  <c r="F28" i="18"/>
  <c r="F29" i="18"/>
  <c r="F30" i="18"/>
  <c r="F30" i="19"/>
  <c r="C27" i="19"/>
  <c r="E34" i="18" l="1"/>
  <c r="C41" i="18"/>
  <c r="D41" i="18"/>
  <c r="I41" i="18"/>
  <c r="H41" i="18"/>
  <c r="J41" i="18"/>
  <c r="F42" i="18"/>
  <c r="F8" i="18"/>
  <c r="J9" i="21"/>
  <c r="J55" i="18" s="1"/>
  <c r="G9" i="21"/>
  <c r="G55" i="18" s="1"/>
  <c r="H9" i="21"/>
  <c r="H55" i="18" s="1"/>
  <c r="I9" i="21"/>
  <c r="I55" i="18" s="1"/>
  <c r="D9" i="21"/>
  <c r="E9" i="21" s="1"/>
  <c r="F12" i="21"/>
  <c r="F11" i="21"/>
  <c r="O41" i="9"/>
  <c r="Q41" i="9"/>
  <c r="S41" i="9"/>
  <c r="M40" i="9"/>
  <c r="G41" i="9"/>
  <c r="I41" i="9"/>
  <c r="K41" i="9"/>
  <c r="E41" i="9"/>
  <c r="F14" i="10"/>
  <c r="J10" i="10"/>
  <c r="D10" i="10"/>
  <c r="H19" i="19"/>
  <c r="I19" i="19"/>
  <c r="J19" i="19"/>
  <c r="G19" i="19"/>
  <c r="D19" i="19"/>
  <c r="C19" i="19"/>
  <c r="C76" i="14" s="1"/>
  <c r="E83" i="20"/>
  <c r="V9" i="9"/>
  <c r="N9" i="9"/>
  <c r="R9" i="9"/>
  <c r="G117" i="14"/>
  <c r="H117" i="14"/>
  <c r="I117" i="14"/>
  <c r="J117" i="14"/>
  <c r="G113" i="14"/>
  <c r="H113" i="14"/>
  <c r="I113" i="14"/>
  <c r="J113" i="14"/>
  <c r="C117" i="14"/>
  <c r="D117" i="14"/>
  <c r="E117" i="14"/>
  <c r="C113" i="14"/>
  <c r="D113" i="14"/>
  <c r="E113" i="14"/>
  <c r="F118" i="14"/>
  <c r="F119" i="14"/>
  <c r="F120" i="14"/>
  <c r="F114" i="14"/>
  <c r="F115" i="14"/>
  <c r="F116" i="14"/>
  <c r="D70" i="10"/>
  <c r="G70" i="10"/>
  <c r="J70" i="10"/>
  <c r="F105" i="14"/>
  <c r="F107" i="14" s="1"/>
  <c r="N11" i="10"/>
  <c r="N12" i="10"/>
  <c r="N13" i="10"/>
  <c r="N15" i="10"/>
  <c r="N16" i="10"/>
  <c r="N17" i="10"/>
  <c r="D18" i="10"/>
  <c r="F91" i="20"/>
  <c r="N20" i="10"/>
  <c r="J23" i="10"/>
  <c r="F129" i="14"/>
  <c r="D24" i="10"/>
  <c r="D25" i="10"/>
  <c r="H23" i="10"/>
  <c r="H24" i="10"/>
  <c r="H25" i="10"/>
  <c r="H22" i="10"/>
  <c r="E127" i="14" s="1"/>
  <c r="F18" i="10"/>
  <c r="F22" i="10" s="1"/>
  <c r="D127" i="14" s="1"/>
  <c r="D128" i="14"/>
  <c r="D129" i="14"/>
  <c r="D130" i="14"/>
  <c r="D126" i="14"/>
  <c r="E126" i="14"/>
  <c r="C126" i="14"/>
  <c r="F124" i="14"/>
  <c r="F125" i="14"/>
  <c r="F123" i="14"/>
  <c r="E124" i="14"/>
  <c r="E125" i="14"/>
  <c r="E123" i="14"/>
  <c r="D124" i="14"/>
  <c r="D125" i="14"/>
  <c r="D123" i="14"/>
  <c r="C123" i="14"/>
  <c r="C95" i="14"/>
  <c r="D107" i="14"/>
  <c r="D94" i="14" s="1"/>
  <c r="E107" i="14"/>
  <c r="C107" i="14"/>
  <c r="D51" i="14"/>
  <c r="D61" i="14"/>
  <c r="D62" i="14"/>
  <c r="D63" i="14"/>
  <c r="D64" i="14"/>
  <c r="D68" i="14"/>
  <c r="D69" i="14"/>
  <c r="D70" i="14"/>
  <c r="D71" i="14"/>
  <c r="E51" i="14"/>
  <c r="E61" i="14"/>
  <c r="E62" i="14"/>
  <c r="E63" i="14"/>
  <c r="E64" i="14"/>
  <c r="E68" i="14"/>
  <c r="E69" i="14"/>
  <c r="E70" i="14"/>
  <c r="E71" i="14"/>
  <c r="C9" i="20"/>
  <c r="B39" i="27" s="1"/>
  <c r="C51" i="14"/>
  <c r="C19" i="20"/>
  <c r="B40" i="27" s="1"/>
  <c r="C40" i="20"/>
  <c r="C55" i="14" s="1"/>
  <c r="C48" i="20"/>
  <c r="C56" i="14" s="1"/>
  <c r="C52" i="20"/>
  <c r="B41" i="27" s="1"/>
  <c r="C62" i="14"/>
  <c r="C64" i="14"/>
  <c r="C61" i="14"/>
  <c r="C63" i="14"/>
  <c r="C65" i="14"/>
  <c r="C67" i="20"/>
  <c r="B43" i="27" s="1"/>
  <c r="C68" i="14"/>
  <c r="C69" i="14"/>
  <c r="C70" i="14"/>
  <c r="C71" i="14"/>
  <c r="D20" i="11"/>
  <c r="C7" i="3"/>
  <c r="C89" i="14" s="1"/>
  <c r="D16" i="11"/>
  <c r="D85" i="20"/>
  <c r="E85" i="20" s="1"/>
  <c r="D87" i="20"/>
  <c r="E87" i="20" s="1"/>
  <c r="C84" i="20"/>
  <c r="C86" i="20"/>
  <c r="C85" i="20"/>
  <c r="C87" i="20"/>
  <c r="D98" i="14"/>
  <c r="E98" i="14"/>
  <c r="H7" i="3"/>
  <c r="I7" i="3"/>
  <c r="J7" i="3"/>
  <c r="G7" i="3"/>
  <c r="D7" i="3"/>
  <c r="E7" i="3" s="1"/>
  <c r="F18" i="11" s="1"/>
  <c r="D81" i="14"/>
  <c r="D86" i="14"/>
  <c r="E86" i="14"/>
  <c r="C36" i="18"/>
  <c r="C54" i="18"/>
  <c r="C81" i="14"/>
  <c r="C86" i="14"/>
  <c r="D82" i="14"/>
  <c r="E82" i="14"/>
  <c r="C82" i="14"/>
  <c r="F67" i="18"/>
  <c r="F86" i="14" s="1"/>
  <c r="F63" i="18"/>
  <c r="F59" i="18"/>
  <c r="D54" i="18"/>
  <c r="F57" i="18"/>
  <c r="F51" i="18"/>
  <c r="H36" i="18"/>
  <c r="I36" i="18"/>
  <c r="J36" i="18"/>
  <c r="G36" i="18"/>
  <c r="D36" i="18"/>
  <c r="E36" i="18" s="1"/>
  <c r="E52" i="18" s="1"/>
  <c r="D18" i="18"/>
  <c r="D34" i="18" s="1"/>
  <c r="D83" i="14" s="1"/>
  <c r="F9" i="18"/>
  <c r="F10" i="18"/>
  <c r="F11" i="18"/>
  <c r="F12" i="18"/>
  <c r="F82" i="14" s="1"/>
  <c r="F13" i="18"/>
  <c r="F14" i="18"/>
  <c r="F15" i="18"/>
  <c r="F16" i="18"/>
  <c r="F17" i="18"/>
  <c r="F23" i="18"/>
  <c r="F24" i="18"/>
  <c r="F25" i="18"/>
  <c r="F26" i="18"/>
  <c r="F31" i="18"/>
  <c r="F32" i="18"/>
  <c r="F33" i="18"/>
  <c r="F20" i="18"/>
  <c r="C36" i="19"/>
  <c r="C78" i="14" s="1"/>
  <c r="C40" i="19"/>
  <c r="C77" i="14"/>
  <c r="H40" i="19"/>
  <c r="I40" i="19"/>
  <c r="J40" i="19"/>
  <c r="G40" i="19"/>
  <c r="D40" i="19"/>
  <c r="E40" i="19" s="1"/>
  <c r="J36" i="19"/>
  <c r="I36" i="19"/>
  <c r="H36" i="19"/>
  <c r="G36" i="19"/>
  <c r="D36" i="19"/>
  <c r="D77" i="14"/>
  <c r="E77" i="14"/>
  <c r="F20" i="19"/>
  <c r="D89" i="27" s="1"/>
  <c r="F21" i="19"/>
  <c r="F22" i="19"/>
  <c r="F23" i="19"/>
  <c r="F24" i="19"/>
  <c r="F25" i="19"/>
  <c r="D91" i="27" s="1"/>
  <c r="F26" i="19"/>
  <c r="F29" i="19"/>
  <c r="D90" i="27" s="1"/>
  <c r="F31" i="19"/>
  <c r="D94" i="27" s="1"/>
  <c r="F34" i="19"/>
  <c r="F35" i="19"/>
  <c r="F37" i="19"/>
  <c r="F38" i="19"/>
  <c r="D92" i="27" s="1"/>
  <c r="F39" i="19"/>
  <c r="D95" i="27" s="1"/>
  <c r="F41" i="19"/>
  <c r="F42" i="19"/>
  <c r="C9" i="19"/>
  <c r="J53" i="14"/>
  <c r="J58" i="14" s="1"/>
  <c r="J67" i="14" s="1"/>
  <c r="J72" i="14" s="1"/>
  <c r="J91" i="14" s="1"/>
  <c r="D74" i="14"/>
  <c r="E74" i="14"/>
  <c r="D73" i="14"/>
  <c r="E73" i="14"/>
  <c r="J60" i="14"/>
  <c r="D9" i="20"/>
  <c r="H87" i="20"/>
  <c r="I87" i="20"/>
  <c r="J87" i="20"/>
  <c r="G87" i="20"/>
  <c r="H86" i="20"/>
  <c r="I86" i="20"/>
  <c r="J86" i="20"/>
  <c r="G86" i="20"/>
  <c r="D86" i="20"/>
  <c r="E86" i="20" s="1"/>
  <c r="H85" i="20"/>
  <c r="I85" i="20"/>
  <c r="J85" i="20"/>
  <c r="G85" i="20"/>
  <c r="H84" i="20"/>
  <c r="I84" i="20"/>
  <c r="J84" i="20"/>
  <c r="G84" i="20"/>
  <c r="D84" i="20"/>
  <c r="E84" i="20" s="1"/>
  <c r="D67" i="20"/>
  <c r="G9" i="20"/>
  <c r="G18" i="20" s="1"/>
  <c r="H9" i="20"/>
  <c r="H18" i="20" s="1"/>
  <c r="I9" i="20"/>
  <c r="I18" i="20" s="1"/>
  <c r="J9" i="20"/>
  <c r="J18" i="20" s="1"/>
  <c r="H19" i="20"/>
  <c r="I19" i="20"/>
  <c r="J19" i="20"/>
  <c r="F41" i="20"/>
  <c r="F42" i="20"/>
  <c r="F43" i="20"/>
  <c r="F44" i="20"/>
  <c r="F45" i="20"/>
  <c r="F46" i="20"/>
  <c r="F47" i="20"/>
  <c r="F53" i="20"/>
  <c r="F54" i="20"/>
  <c r="F55" i="20"/>
  <c r="F56" i="20"/>
  <c r="F57" i="20"/>
  <c r="F58" i="20"/>
  <c r="F61" i="20"/>
  <c r="F62" i="14" s="1"/>
  <c r="F63" i="20"/>
  <c r="D42" i="27" s="1"/>
  <c r="F68" i="20"/>
  <c r="F69" i="20"/>
  <c r="F74" i="20"/>
  <c r="F71" i="14" s="1"/>
  <c r="G40" i="20"/>
  <c r="G52" i="20"/>
  <c r="G67" i="20"/>
  <c r="H40" i="20"/>
  <c r="H52" i="20"/>
  <c r="H67" i="20"/>
  <c r="I40" i="20"/>
  <c r="I52" i="20"/>
  <c r="I67" i="20"/>
  <c r="J40" i="20"/>
  <c r="J52" i="20"/>
  <c r="J67" i="20"/>
  <c r="F49" i="20"/>
  <c r="F50" i="20"/>
  <c r="F51" i="20"/>
  <c r="G48" i="20"/>
  <c r="H48" i="20"/>
  <c r="I48" i="20"/>
  <c r="J48" i="20"/>
  <c r="D64" i="20"/>
  <c r="F8" i="20"/>
  <c r="F51" i="14" s="1"/>
  <c r="G51" i="14" s="1"/>
  <c r="H51" i="14" s="1"/>
  <c r="I51" i="14" s="1"/>
  <c r="F60" i="20"/>
  <c r="F61" i="14" s="1"/>
  <c r="F62" i="20"/>
  <c r="F63" i="14" s="1"/>
  <c r="F65" i="20"/>
  <c r="F66" i="20"/>
  <c r="F72" i="20"/>
  <c r="F69" i="14" s="1"/>
  <c r="F73" i="20"/>
  <c r="F70" i="14" s="1"/>
  <c r="G64" i="20"/>
  <c r="H64" i="20"/>
  <c r="I64" i="20"/>
  <c r="J95" i="20"/>
  <c r="I95" i="20"/>
  <c r="H95" i="20"/>
  <c r="G95" i="20"/>
  <c r="D95" i="20"/>
  <c r="E95" i="20" s="1"/>
  <c r="C95" i="20"/>
  <c r="F93" i="20"/>
  <c r="F92" i="20"/>
  <c r="F90" i="20"/>
  <c r="J83" i="20"/>
  <c r="I83" i="20"/>
  <c r="H83" i="20"/>
  <c r="G83" i="20"/>
  <c r="F80" i="20"/>
  <c r="F77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1" i="20"/>
  <c r="F20" i="20"/>
  <c r="F17" i="20"/>
  <c r="F16" i="20"/>
  <c r="F15" i="20"/>
  <c r="F14" i="20"/>
  <c r="F12" i="20"/>
  <c r="F11" i="20"/>
  <c r="F10" i="20"/>
  <c r="F11" i="19"/>
  <c r="F12" i="19"/>
  <c r="F14" i="19"/>
  <c r="F15" i="19"/>
  <c r="F16" i="19"/>
  <c r="L12" i="10"/>
  <c r="L15" i="10"/>
  <c r="L16" i="10"/>
  <c r="L17" i="10"/>
  <c r="L19" i="10"/>
  <c r="L20" i="10"/>
  <c r="F13" i="19"/>
  <c r="Z30" i="9"/>
  <c r="Y30" i="9"/>
  <c r="X30" i="9"/>
  <c r="W30" i="9"/>
  <c r="P30" i="9"/>
  <c r="O30" i="9"/>
  <c r="N30" i="9"/>
  <c r="M30" i="9"/>
  <c r="K30" i="9"/>
  <c r="J30" i="9"/>
  <c r="I30" i="9"/>
  <c r="H30" i="9"/>
  <c r="F13" i="3"/>
  <c r="F11" i="3"/>
  <c r="F10" i="3"/>
  <c r="F9" i="3"/>
  <c r="F8" i="3"/>
  <c r="F39" i="18"/>
  <c r="F38" i="18"/>
  <c r="F37" i="18"/>
  <c r="B60" i="14"/>
  <c r="E130" i="14" l="1"/>
  <c r="C64" i="27"/>
  <c r="C129" i="14"/>
  <c r="B63" i="27"/>
  <c r="E129" i="14"/>
  <c r="C63" i="27"/>
  <c r="E128" i="14"/>
  <c r="C62" i="27"/>
  <c r="F128" i="14"/>
  <c r="D62" i="27"/>
  <c r="B38" i="27"/>
  <c r="C130" i="14"/>
  <c r="B64" i="27"/>
  <c r="F100" i="14"/>
  <c r="L100" i="14" s="1"/>
  <c r="F126" i="14"/>
  <c r="J18" i="10"/>
  <c r="C66" i="14"/>
  <c r="C54" i="14"/>
  <c r="F64" i="14"/>
  <c r="C57" i="14"/>
  <c r="F74" i="14"/>
  <c r="C52" i="14"/>
  <c r="C53" i="14" s="1"/>
  <c r="D8" i="11" s="1"/>
  <c r="N10" i="10"/>
  <c r="L10" i="10"/>
  <c r="N14" i="10"/>
  <c r="L14" i="10"/>
  <c r="E65" i="18"/>
  <c r="F19" i="20"/>
  <c r="D40" i="27" s="1"/>
  <c r="F9" i="21"/>
  <c r="D66" i="14"/>
  <c r="E67" i="20"/>
  <c r="C43" i="27" s="1"/>
  <c r="D56" i="14"/>
  <c r="E48" i="20"/>
  <c r="E56" i="14" s="1"/>
  <c r="D76" i="14"/>
  <c r="D78" i="14"/>
  <c r="E78" i="14"/>
  <c r="D65" i="14"/>
  <c r="E64" i="20"/>
  <c r="E65" i="14" s="1"/>
  <c r="D57" i="14"/>
  <c r="E52" i="20"/>
  <c r="C41" i="27" s="1"/>
  <c r="D55" i="14"/>
  <c r="E40" i="20"/>
  <c r="E55" i="14" s="1"/>
  <c r="D18" i="20"/>
  <c r="E18" i="20" s="1"/>
  <c r="C73" i="27" s="1"/>
  <c r="E9" i="20"/>
  <c r="C39" i="27" s="1"/>
  <c r="E97" i="14"/>
  <c r="E103" i="14" s="1"/>
  <c r="D103" i="14"/>
  <c r="F7" i="3"/>
  <c r="F89" i="14" s="1"/>
  <c r="G89" i="14" s="1"/>
  <c r="H89" i="14" s="1"/>
  <c r="I89" i="14" s="1"/>
  <c r="E89" i="14"/>
  <c r="F19" i="11" s="1"/>
  <c r="D89" i="14"/>
  <c r="E19" i="11" s="1"/>
  <c r="E18" i="11"/>
  <c r="D110" i="14"/>
  <c r="C110" i="14"/>
  <c r="C111" i="14" s="1"/>
  <c r="C94" i="14"/>
  <c r="E94" i="14"/>
  <c r="E110" i="14"/>
  <c r="V30" i="9"/>
  <c r="M41" i="9"/>
  <c r="L30" i="9"/>
  <c r="G30" i="9"/>
  <c r="M70" i="10"/>
  <c r="F109" i="14" s="1"/>
  <c r="L24" i="10"/>
  <c r="L23" i="10"/>
  <c r="D122" i="14"/>
  <c r="D22" i="10"/>
  <c r="C127" i="14" s="1"/>
  <c r="G78" i="20"/>
  <c r="F40" i="20"/>
  <c r="F55" i="14" s="1"/>
  <c r="F67" i="20"/>
  <c r="F9" i="20"/>
  <c r="D39" i="27" s="1"/>
  <c r="F64" i="20"/>
  <c r="F65" i="14" s="1"/>
  <c r="I78" i="20"/>
  <c r="D19" i="11"/>
  <c r="D18" i="11"/>
  <c r="F41" i="18"/>
  <c r="C64" i="18"/>
  <c r="C85" i="14" s="1"/>
  <c r="J52" i="18"/>
  <c r="E84" i="14"/>
  <c r="I52" i="18"/>
  <c r="D64" i="18"/>
  <c r="D85" i="14" s="1"/>
  <c r="C52" i="18"/>
  <c r="C84" i="14" s="1"/>
  <c r="D52" i="18"/>
  <c r="D84" i="14" s="1"/>
  <c r="H52" i="18"/>
  <c r="F60" i="18"/>
  <c r="E85" i="14"/>
  <c r="G54" i="18"/>
  <c r="G64" i="18" s="1"/>
  <c r="I54" i="18"/>
  <c r="F56" i="18"/>
  <c r="F36" i="18"/>
  <c r="E83" i="14"/>
  <c r="D43" i="19"/>
  <c r="F40" i="19"/>
  <c r="F36" i="19"/>
  <c r="F78" i="14" s="1"/>
  <c r="G78" i="14" s="1"/>
  <c r="H78" i="14" s="1"/>
  <c r="I78" i="14" s="1"/>
  <c r="F19" i="19"/>
  <c r="F76" i="14" s="1"/>
  <c r="G76" i="14" s="1"/>
  <c r="H76" i="14" s="1"/>
  <c r="I76" i="14" s="1"/>
  <c r="C43" i="19"/>
  <c r="C79" i="14" s="1"/>
  <c r="C78" i="20"/>
  <c r="F83" i="20"/>
  <c r="F95" i="20"/>
  <c r="H78" i="20"/>
  <c r="F48" i="20"/>
  <c r="F56" i="14" s="1"/>
  <c r="F87" i="20"/>
  <c r="F86" i="20"/>
  <c r="H59" i="20"/>
  <c r="H82" i="20" s="1"/>
  <c r="H88" i="20" s="1"/>
  <c r="G59" i="20"/>
  <c r="F117" i="14"/>
  <c r="F113" i="14"/>
  <c r="F122" i="14"/>
  <c r="E122" i="14"/>
  <c r="F52" i="20"/>
  <c r="D41" i="27" s="1"/>
  <c r="F85" i="20"/>
  <c r="J78" i="20"/>
  <c r="J59" i="20"/>
  <c r="J70" i="20" s="1"/>
  <c r="J71" i="20" s="1"/>
  <c r="I59" i="20"/>
  <c r="I82" i="20" s="1"/>
  <c r="I88" i="20" s="1"/>
  <c r="D78" i="20"/>
  <c r="E78" i="20" s="1"/>
  <c r="F84" i="20"/>
  <c r="C122" i="14"/>
  <c r="C79" i="20"/>
  <c r="C18" i="20"/>
  <c r="B73" i="27" s="1"/>
  <c r="G18" i="18"/>
  <c r="J54" i="18"/>
  <c r="D52" i="14"/>
  <c r="D53" i="14" s="1"/>
  <c r="E8" i="11" s="1"/>
  <c r="C34" i="18"/>
  <c r="N24" i="10"/>
  <c r="H54" i="18"/>
  <c r="F55" i="18"/>
  <c r="E76" i="14" l="1"/>
  <c r="F57" i="14"/>
  <c r="F66" i="14"/>
  <c r="E52" i="14"/>
  <c r="E53" i="14" s="1"/>
  <c r="F8" i="11" s="1"/>
  <c r="E57" i="14"/>
  <c r="C59" i="20"/>
  <c r="E66" i="14"/>
  <c r="F54" i="14"/>
  <c r="G54" i="14" s="1"/>
  <c r="H54" i="14" s="1"/>
  <c r="I54" i="14" s="1"/>
  <c r="F18" i="20"/>
  <c r="D73" i="27" s="1"/>
  <c r="J28" i="19"/>
  <c r="J22" i="10"/>
  <c r="F127" i="14" s="1"/>
  <c r="D111" i="14"/>
  <c r="G19" i="11"/>
  <c r="D79" i="14"/>
  <c r="E79" i="14"/>
  <c r="G18" i="11"/>
  <c r="F99" i="14"/>
  <c r="E111" i="14"/>
  <c r="F52" i="14"/>
  <c r="G52" i="14" s="1"/>
  <c r="H52" i="14" s="1"/>
  <c r="I52" i="14" s="1"/>
  <c r="L18" i="10"/>
  <c r="N18" i="10"/>
  <c r="H70" i="20"/>
  <c r="G31" i="9"/>
  <c r="I70" i="20"/>
  <c r="I71" i="20" s="1"/>
  <c r="I28" i="19" s="1"/>
  <c r="J22" i="18" s="1"/>
  <c r="F78" i="20"/>
  <c r="D87" i="14"/>
  <c r="D65" i="18"/>
  <c r="D68" i="18" s="1"/>
  <c r="D102" i="14" s="1"/>
  <c r="G70" i="20"/>
  <c r="G82" i="20"/>
  <c r="G88" i="20" s="1"/>
  <c r="J82" i="20"/>
  <c r="J88" i="20" s="1"/>
  <c r="C58" i="14"/>
  <c r="C67" i="14" s="1"/>
  <c r="C72" i="14" s="1"/>
  <c r="C65" i="18"/>
  <c r="C68" i="18" s="1"/>
  <c r="C83" i="14"/>
  <c r="C87" i="14" s="1"/>
  <c r="G34" i="18"/>
  <c r="F54" i="18"/>
  <c r="H38" i="27" l="1"/>
  <c r="G38" i="27"/>
  <c r="F38" i="27"/>
  <c r="E38" i="27"/>
  <c r="C82" i="20"/>
  <c r="B74" i="27"/>
  <c r="J18" i="18"/>
  <c r="J34" i="18" s="1"/>
  <c r="J21" i="18"/>
  <c r="E66" i="18"/>
  <c r="E81" i="14" s="1"/>
  <c r="E87" i="14" s="1"/>
  <c r="C102" i="14"/>
  <c r="L97" i="14"/>
  <c r="L99" i="14"/>
  <c r="G71" i="20"/>
  <c r="G75" i="20" s="1"/>
  <c r="C70" i="20"/>
  <c r="B75" i="27" s="1"/>
  <c r="F59" i="20"/>
  <c r="D74" i="27" s="1"/>
  <c r="J79" i="20"/>
  <c r="L22" i="10"/>
  <c r="N22" i="10"/>
  <c r="N21" i="10"/>
  <c r="J25" i="10"/>
  <c r="D64" i="27" s="1"/>
  <c r="L21" i="10"/>
  <c r="H71" i="20"/>
  <c r="F98" i="14"/>
  <c r="G20" i="11"/>
  <c r="F95" i="14"/>
  <c r="E68" i="18"/>
  <c r="E102" i="14" s="1"/>
  <c r="F53" i="14"/>
  <c r="G8" i="11" s="1"/>
  <c r="J75" i="20"/>
  <c r="I79" i="20"/>
  <c r="V31" i="9"/>
  <c r="C92" i="14"/>
  <c r="D11" i="11"/>
  <c r="C93" i="14"/>
  <c r="L31" i="9"/>
  <c r="Q31" i="9"/>
  <c r="D10" i="11"/>
  <c r="F82" i="20"/>
  <c r="F88" i="20" s="1"/>
  <c r="C91" i="14"/>
  <c r="D12" i="11"/>
  <c r="C88" i="20" l="1"/>
  <c r="C59" i="14" s="1"/>
  <c r="G28" i="19"/>
  <c r="H22" i="18" s="1"/>
  <c r="F66" i="18"/>
  <c r="F81" i="14" s="1"/>
  <c r="C75" i="20"/>
  <c r="F70" i="20"/>
  <c r="D75" i="27" s="1"/>
  <c r="F103" i="14"/>
  <c r="N25" i="10"/>
  <c r="L25" i="10"/>
  <c r="F130" i="14"/>
  <c r="H79" i="20"/>
  <c r="H28" i="19"/>
  <c r="I22" i="18" s="1"/>
  <c r="I21" i="18" s="1"/>
  <c r="H75" i="20"/>
  <c r="H76" i="20" s="1"/>
  <c r="H10" i="19" s="1"/>
  <c r="F59" i="14"/>
  <c r="G59" i="14" s="1"/>
  <c r="H59" i="14" s="1"/>
  <c r="I59" i="14" s="1"/>
  <c r="G53" i="14"/>
  <c r="G58" i="14" s="1"/>
  <c r="G67" i="14" s="1"/>
  <c r="G68" i="14" s="1"/>
  <c r="F58" i="14"/>
  <c r="F67" i="14" s="1"/>
  <c r="J76" i="20"/>
  <c r="J10" i="19" s="1"/>
  <c r="I75" i="20"/>
  <c r="I76" i="20" s="1"/>
  <c r="I10" i="19" s="1"/>
  <c r="G76" i="20"/>
  <c r="G10" i="19" s="1"/>
  <c r="F71" i="20"/>
  <c r="G79" i="20"/>
  <c r="AA31" i="9"/>
  <c r="G52" i="18"/>
  <c r="G65" i="18" s="1"/>
  <c r="D14" i="11" l="1"/>
  <c r="D9" i="11"/>
  <c r="C60" i="14"/>
  <c r="H21" i="18"/>
  <c r="H18" i="18" s="1"/>
  <c r="H34" i="18" s="1"/>
  <c r="C76" i="20"/>
  <c r="B76" i="27"/>
  <c r="G66" i="18"/>
  <c r="G68" i="18" s="1"/>
  <c r="H66" i="18" s="1"/>
  <c r="C17" i="19"/>
  <c r="F10" i="19"/>
  <c r="F22" i="18"/>
  <c r="G9" i="11"/>
  <c r="G14" i="11"/>
  <c r="F60" i="14"/>
  <c r="G60" i="14"/>
  <c r="J9" i="19"/>
  <c r="J33" i="19" s="1"/>
  <c r="H53" i="14"/>
  <c r="H58" i="14" s="1"/>
  <c r="I53" i="14"/>
  <c r="I58" i="14" s="1"/>
  <c r="F76" i="20"/>
  <c r="D77" i="27" s="1"/>
  <c r="F68" i="14"/>
  <c r="F72" i="14" s="1"/>
  <c r="F79" i="20"/>
  <c r="F75" i="20"/>
  <c r="D76" i="27" s="1"/>
  <c r="F52" i="18"/>
  <c r="C73" i="14" l="1"/>
  <c r="B77" i="27"/>
  <c r="E8" i="19"/>
  <c r="I18" i="18"/>
  <c r="F21" i="18"/>
  <c r="J27" i="19"/>
  <c r="J43" i="19" s="1"/>
  <c r="G72" i="14"/>
  <c r="G91" i="14" s="1"/>
  <c r="H67" i="14"/>
  <c r="H60" i="14"/>
  <c r="I67" i="14"/>
  <c r="I60" i="14"/>
  <c r="I9" i="19"/>
  <c r="I33" i="19" s="1"/>
  <c r="J61" i="18" s="1"/>
  <c r="J58" i="18" s="1"/>
  <c r="J64" i="18" s="1"/>
  <c r="J65" i="18" s="1"/>
  <c r="G9" i="19"/>
  <c r="F104" i="14"/>
  <c r="H9" i="19"/>
  <c r="H33" i="19" s="1"/>
  <c r="I61" i="18" s="1"/>
  <c r="I58" i="18" s="1"/>
  <c r="I64" i="18" s="1"/>
  <c r="F73" i="14"/>
  <c r="F28" i="19"/>
  <c r="D93" i="27" s="1"/>
  <c r="F91" i="14"/>
  <c r="G12" i="11"/>
  <c r="F92" i="14"/>
  <c r="G10" i="11"/>
  <c r="F84" i="14"/>
  <c r="N19" i="10"/>
  <c r="D23" i="10"/>
  <c r="C128" i="14" l="1"/>
  <c r="B62" i="27"/>
  <c r="H68" i="14"/>
  <c r="H72" i="14" s="1"/>
  <c r="I68" i="14"/>
  <c r="I72" i="14" s="1"/>
  <c r="I34" i="18"/>
  <c r="F34" i="18" s="1"/>
  <c r="F83" i="14" s="1"/>
  <c r="F18" i="18"/>
  <c r="G73" i="14"/>
  <c r="I27" i="19"/>
  <c r="I43" i="19" s="1"/>
  <c r="H27" i="19"/>
  <c r="H43" i="19" s="1"/>
  <c r="G15" i="11"/>
  <c r="F110" i="14"/>
  <c r="F111" i="14" s="1"/>
  <c r="F94" i="14"/>
  <c r="G33" i="19"/>
  <c r="F9" i="19"/>
  <c r="F93" i="14"/>
  <c r="G11" i="11"/>
  <c r="N23" i="10"/>
  <c r="I91" i="14" l="1"/>
  <c r="I73" i="14"/>
  <c r="H91" i="14"/>
  <c r="H73" i="14"/>
  <c r="G27" i="19"/>
  <c r="G43" i="19" s="1"/>
  <c r="F43" i="19" s="1"/>
  <c r="H61" i="18"/>
  <c r="I65" i="18"/>
  <c r="F33" i="19"/>
  <c r="D96" i="27" s="1"/>
  <c r="D88" i="27" l="1"/>
  <c r="H58" i="18"/>
  <c r="F61" i="18"/>
  <c r="F27" i="19"/>
  <c r="F77" i="14" s="1"/>
  <c r="G77" i="14" s="1"/>
  <c r="H77" i="14" s="1"/>
  <c r="I77" i="14" s="1"/>
  <c r="F79" i="14"/>
  <c r="G79" i="14" l="1"/>
  <c r="F58" i="18"/>
  <c r="H64" i="18"/>
  <c r="I79" i="14" l="1"/>
  <c r="H79" i="14"/>
  <c r="F64" i="18"/>
  <c r="H65" i="18"/>
  <c r="H68" i="18" s="1"/>
  <c r="I66" i="18" s="1"/>
  <c r="I68" i="18" s="1"/>
  <c r="J66" i="18" s="1"/>
  <c r="J68" i="18" s="1"/>
  <c r="F85" i="14" l="1"/>
  <c r="F87" i="14" s="1"/>
  <c r="F65" i="18"/>
  <c r="F68" i="18" s="1"/>
  <c r="F102" i="14" s="1"/>
  <c r="E37" i="20" l="1"/>
  <c r="E94" i="20" s="1"/>
  <c r="D19" i="20"/>
  <c r="D59" i="20" s="1"/>
  <c r="E59" i="20" l="1"/>
  <c r="C74" i="27" s="1"/>
  <c r="D82" i="20"/>
  <c r="D88" i="20" s="1"/>
  <c r="D70" i="20"/>
  <c r="E19" i="20"/>
  <c r="C40" i="27" s="1"/>
  <c r="D54" i="14"/>
  <c r="D58" i="14" s="1"/>
  <c r="D67" i="14" s="1"/>
  <c r="D72" i="14" s="1"/>
  <c r="D79" i="20"/>
  <c r="E79" i="20" s="1"/>
  <c r="C38" i="27" l="1"/>
  <c r="D75" i="20"/>
  <c r="E70" i="20"/>
  <c r="C75" i="27" s="1"/>
  <c r="E82" i="20"/>
  <c r="E88" i="20" s="1"/>
  <c r="E54" i="14"/>
  <c r="E58" i="14" s="1"/>
  <c r="E67" i="14" s="1"/>
  <c r="E72" i="14" s="1"/>
  <c r="F12" i="11" s="1"/>
  <c r="E11" i="11"/>
  <c r="E12" i="11"/>
  <c r="D92" i="14"/>
  <c r="D93" i="14"/>
  <c r="E10" i="11"/>
  <c r="D91" i="14"/>
  <c r="E59" i="14" l="1"/>
  <c r="D59" i="14"/>
  <c r="D17" i="19"/>
  <c r="E75" i="20"/>
  <c r="F10" i="11"/>
  <c r="E93" i="14"/>
  <c r="F11" i="11"/>
  <c r="E92" i="14"/>
  <c r="E91" i="14"/>
  <c r="E17" i="19" l="1"/>
  <c r="F8" i="19" s="1"/>
  <c r="C76" i="27"/>
  <c r="F17" i="19"/>
  <c r="G8" i="19"/>
  <c r="G17" i="19" s="1"/>
  <c r="H8" i="19" s="1"/>
  <c r="H17" i="19" s="1"/>
  <c r="I8" i="19" s="1"/>
  <c r="I17" i="19" s="1"/>
  <c r="J8" i="19" s="1"/>
  <c r="J17" i="19" s="1"/>
  <c r="D60" i="14"/>
  <c r="E14" i="11"/>
  <c r="E9" i="11"/>
  <c r="F14" i="11"/>
  <c r="E60" i="14"/>
  <c r="F9" i="11"/>
  <c r="E13" i="22"/>
  <c r="E7" i="22" s="1"/>
</calcChain>
</file>

<file path=xl/sharedStrings.xml><?xml version="1.0" encoding="utf-8"?>
<sst xmlns="http://schemas.openxmlformats.org/spreadsheetml/2006/main" count="1557" uniqueCount="727">
  <si>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</si>
  <si>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</si>
  <si>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</si>
  <si>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</si>
  <si>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</si>
  <si>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</si>
  <si>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</si>
  <si>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</si>
  <si>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</si>
  <si>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</si>
  <si>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</si>
  <si>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</si>
  <si>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</si>
  <si>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</si>
  <si>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</si>
  <si>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</si>
  <si>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</si>
  <si>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</si>
  <si>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</si>
  <si>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</si>
  <si>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</si>
  <si>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</si>
  <si>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</si>
  <si>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</si>
  <si>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</si>
  <si>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</si>
  <si>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</si>
  <si>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</si>
  <si>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</si>
  <si>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</si>
  <si>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</si>
  <si>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</si>
  <si>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</si>
  <si>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</si>
  <si>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</si>
  <si>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</si>
  <si>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</si>
  <si>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</si>
  <si>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</si>
  <si>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</si>
  <si>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</si>
  <si>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</si>
  <si>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</si>
  <si>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</si>
  <si>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</si>
  <si>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</si>
  <si>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</si>
  <si>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</si>
  <si>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</si>
  <si>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</si>
  <si>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</si>
  <si>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</si>
  <si>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</si>
  <si>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</si>
  <si>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</si>
  <si>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</si>
  <si>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</si>
  <si>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</si>
  <si>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</si>
  <si>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</si>
  <si>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</si>
  <si>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</si>
  <si>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</si>
  <si>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</si>
  <si>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</si>
  <si>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</si>
  <si>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</si>
  <si>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</si>
  <si>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</si>
  <si>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</si>
  <si>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</si>
  <si>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</si>
  <si>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</si>
  <si>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</si>
  <si>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</si>
  <si>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</si>
  <si>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</si>
  <si>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</si>
  <si>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</si>
  <si>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</si>
  <si>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</si>
  <si>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</si>
  <si>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</si>
  <si>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</si>
  <si>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</si>
  <si>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</si>
  <si>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</si>
  <si>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</si>
  <si>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</si>
  <si>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</si>
  <si>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</si>
  <si>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</si>
  <si>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</si>
  <si>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</si>
  <si>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</si>
  <si>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</si>
  <si>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</si>
  <si>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</si>
  <si>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</si>
  <si>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</si>
  <si>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</si>
  <si>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</si>
  <si>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</si>
  <si>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</si>
  <si>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</si>
  <si>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</si>
  <si>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</si>
  <si>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</si>
  <si>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</si>
  <si>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</si>
  <si>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</si>
  <si>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</si>
  <si>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</si>
  <si>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</si>
  <si>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</si>
  <si>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</si>
  <si>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</si>
  <si>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</si>
  <si>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</si>
  <si>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</si>
  <si>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</si>
  <si>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</si>
  <si>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</si>
  <si>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</si>
  <si>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</si>
  <si>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</si>
  <si>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</si>
  <si>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</si>
  <si>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</si>
  <si>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</si>
  <si>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</si>
  <si>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</si>
  <si>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</si>
  <si>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</si>
  <si>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</si>
  <si>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</si>
  <si>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</si>
  <si>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</si>
  <si>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</si>
  <si>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</si>
  <si>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</si>
  <si>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</si>
  <si>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</si>
  <si>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</si>
  <si>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</si>
  <si>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</si>
  <si>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</si>
  <si>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</si>
  <si>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</si>
  <si>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</si>
  <si>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</si>
  <si>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</si>
  <si>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</si>
  <si>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</si>
  <si>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</si>
  <si>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</si>
  <si>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</si>
  <si>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</si>
  <si>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</si>
  <si>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</si>
  <si>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</si>
  <si>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</si>
  <si>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</si>
  <si>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</si>
  <si>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</si>
  <si>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</si>
  <si>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</si>
  <si>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</si>
  <si>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</si>
  <si>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</si>
  <si>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</si>
  <si>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</si>
  <si>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</si>
  <si>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</si>
  <si>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</si>
  <si>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</si>
  <si>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</si>
  <si>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</si>
  <si>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</si>
  <si>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</si>
  <si>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</si>
  <si>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</si>
  <si>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</si>
  <si>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</si>
  <si>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</si>
  <si>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</si>
  <si>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</si>
  <si>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</si>
  <si>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</si>
  <si>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</si>
  <si>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</si>
  <si>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</si>
  <si>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</si>
  <si>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</si>
  <si>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</si>
  <si>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</si>
  <si>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</si>
  <si>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</si>
  <si>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</si>
  <si>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</si>
  <si>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</si>
  <si>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</si>
  <si>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</si>
  <si>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</si>
  <si>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</si>
  <si>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</si>
  <si>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</si>
  <si>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</si>
  <si>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</si>
  <si>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</si>
  <si>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</si>
  <si>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</si>
  <si>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</si>
  <si>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</si>
  <si>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</si>
  <si>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</si>
  <si>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</si>
  <si>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</si>
  <si>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</si>
  <si>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</si>
  <si>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</si>
  <si>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</si>
  <si>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</si>
  <si>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</si>
  <si>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</si>
  <si>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</si>
  <si>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</si>
  <si>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</si>
  <si>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</si>
  <si>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</si>
  <si>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</si>
  <si>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</si>
  <si>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</si>
  <si>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</si>
  <si>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</si>
  <si>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</si>
  <si>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</si>
  <si>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</si>
  <si>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</si>
  <si>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</si>
  <si>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</si>
  <si>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</si>
  <si>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</si>
  <si>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</si>
  <si>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</si>
  <si>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</si>
  <si>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</si>
  <si>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</si>
  <si>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</si>
  <si>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</si>
  <si>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</si>
  <si>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</si>
  <si>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</si>
  <si>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</si>
  <si>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</si>
  <si>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</si>
  <si>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</si>
  <si>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</si>
  <si>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</si>
  <si>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</si>
  <si>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</si>
  <si>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</si>
  <si>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</si>
  <si>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</si>
  <si>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</si>
  <si>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</si>
  <si>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</si>
  <si>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</si>
  <si>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</si>
  <si>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</si>
  <si>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</si>
  <si>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</si>
  <si>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</si>
  <si>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</si>
  <si>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</si>
  <si>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</si>
  <si>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</si>
  <si>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</si>
  <si>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</si>
  <si>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</si>
  <si>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</si>
  <si>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</si>
  <si>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</si>
  <si>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</si>
  <si>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</si>
  <si>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</si>
  <si>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</si>
  <si>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</si>
  <si>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</si>
  <si>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</si>
  <si>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</si>
  <si>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</si>
  <si>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</si>
  <si>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</si>
  <si>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</si>
  <si>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</si>
  <si>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</si>
  <si>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</si>
  <si>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</si>
  <si>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</si>
  <si>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</si>
  <si>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</si>
  <si>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</si>
  <si>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</si>
  <si>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</si>
  <si>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</si>
  <si>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</si>
  <si>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</si>
  <si>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</si>
  <si>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</si>
  <si>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</si>
  <si>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</si>
  <si>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</si>
  <si>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</si>
  <si>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</si>
  <si>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</si>
  <si>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</si>
  <si>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</si>
  <si>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</si>
  <si>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</si>
  <si>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</si>
  <si>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</si>
  <si>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</si>
  <si>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</si>
  <si>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</si>
  <si>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</si>
  <si>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</si>
  <si>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</si>
  <si>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>тис. грн.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</si>
  <si>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</si>
  <si>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</si>
  <si>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</si>
  <si>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</si>
  <si>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</si>
  <si>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</si>
  <si>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</si>
  <si>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</si>
  <si>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</si>
  <si>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</si>
  <si>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</si>
  <si>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</si>
  <si>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</si>
  <si>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</si>
  <si>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</si>
  <si>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</si>
  <si>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</si>
  <si>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</si>
  <si>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</si>
  <si>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</si>
  <si>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</si>
  <si>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</si>
  <si>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</si>
  <si>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</si>
  <si>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</si>
  <si>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</si>
  <si>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</si>
  <si>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</si>
  <si>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</si>
  <si>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</si>
  <si>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</si>
  <si>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</si>
  <si>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</si>
  <si>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</si>
  <si>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</si>
  <si>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</si>
  <si>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</si>
  <si>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</si>
  <si>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</si>
  <si>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</si>
  <si>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</si>
  <si>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</si>
  <si>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t>комунальними підприємствами, що є власністю Вінницької міської об"єднаної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</si>
  <si>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об"єднаної територіальної громади до бюджету Вінницької міської ОТГ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</si>
  <si>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</si>
  <si>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</si>
  <si>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</si>
  <si>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</si>
  <si>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</si>
  <si>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</si>
  <si>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</si>
  <si>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</si>
  <si>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</si>
  <si>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</si>
  <si>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</si>
  <si>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</si>
  <si>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</si>
  <si>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</si>
  <si>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</si>
  <si>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</si>
  <si>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</si>
  <si>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</si>
  <si>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</si>
  <si>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</si>
  <si>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</si>
  <si>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</si>
  <si>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</si>
  <si>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</si>
  <si>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</si>
  <si>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</si>
  <si>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</si>
  <si>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</si>
  <si>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</si>
  <si>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</si>
  <si>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</si>
  <si>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</si>
  <si>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</si>
  <si>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Розшифровка до Таблиці І "Формування фінансових результатів"</t>
  </si>
  <si>
    <t>Розшифровка до Таблиці ІІІ "Рух грошових коштів (за прямим методом)"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</si>
  <si>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</si>
  <si>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</si>
  <si>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</si>
  <si>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 xml:space="preserve">Розшифровка до Таблиці IV. Капітальні інвестиції </t>
  </si>
  <si>
    <t>Розшифровка до Таблиці VІІ. Розподіл коштів, отриманих з  бюджету на поповнення Статутного капіталу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</si>
  <si>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</si>
  <si>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</si>
  <si>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Інші витрати на збут, усього, у тому числі:</t>
  </si>
  <si>
    <t>Цільове фінансуванн, усього, у тому числі:</t>
  </si>
  <si>
    <t>Інші надходження, усього, у тому числі:</t>
  </si>
  <si>
    <t>придбання (створення) основних засобів, 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</si>
  <si>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</si>
  <si>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</si>
  <si>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</si>
  <si>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</si>
  <si>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до рішення виконавчого комітету міської ради</t>
  </si>
  <si>
    <t xml:space="preserve">від ____________________№________ </t>
  </si>
  <si>
    <t>Комунальне унітарне підприємство "ЕкоВін"</t>
  </si>
  <si>
    <t>м.Вінниця</t>
  </si>
  <si>
    <t>комунальна</t>
  </si>
  <si>
    <t>Гриневич П.О.</t>
  </si>
  <si>
    <t>38.11</t>
  </si>
  <si>
    <t>Інші  витрати,  усього, у тому числі:</t>
  </si>
  <si>
    <t>Інші  доходи, усього, у тому числі:</t>
  </si>
  <si>
    <t>інші податки, збори та платежі (екологічний податок)</t>
  </si>
  <si>
    <t>інші платежі (екологічний податок)</t>
  </si>
  <si>
    <t>відшкодування середньої зарплати працівнику, призваному на збори</t>
  </si>
  <si>
    <t>Прес для вторсировини</t>
  </si>
  <si>
    <t>Утилізатор термічний</t>
  </si>
  <si>
    <t>Навантажувач фронтальний</t>
  </si>
  <si>
    <t xml:space="preserve"> контейнера  (50 шт.)</t>
  </si>
  <si>
    <t>Продаж товару</t>
  </si>
  <si>
    <t>Благоустрій</t>
  </si>
  <si>
    <t>Інші види діяльності</t>
  </si>
  <si>
    <t>Комунальні послуги</t>
  </si>
  <si>
    <t>Передача майнових прав</t>
  </si>
  <si>
    <t>Робота сортувальної лінії</t>
  </si>
  <si>
    <t>позика на придбання гусеничного бульдозера</t>
  </si>
  <si>
    <t>гусеничний бульдозер</t>
  </si>
  <si>
    <t>Фінансова компанія "Муніципальні платіжні системи"</t>
  </si>
  <si>
    <t>фінансовий лізинг по сміттєвозу</t>
  </si>
  <si>
    <t>23.10.18/22.10.23</t>
  </si>
  <si>
    <t>сміттєвоз</t>
  </si>
  <si>
    <t>02.11.18/01.11.23</t>
  </si>
  <si>
    <t>позика на придбання 2 шт. сміттєвозів</t>
  </si>
  <si>
    <t>14.05.19/13.05.24</t>
  </si>
  <si>
    <t>30.09.19/29.09.24</t>
  </si>
  <si>
    <t xml:space="preserve"> 2 шт. сміттєвози</t>
  </si>
  <si>
    <t>Контейнера для збору ТПВ</t>
  </si>
  <si>
    <t xml:space="preserve"> </t>
  </si>
  <si>
    <t>фінансовий лізинг на придбання сміттєвоза</t>
  </si>
  <si>
    <t>За рік</t>
  </si>
  <si>
    <t>Основний борг, грн.</t>
  </si>
  <si>
    <t>Сума відсотків, грн.</t>
  </si>
  <si>
    <t>Всього, грн.</t>
  </si>
  <si>
    <t>2017      9</t>
  </si>
  <si>
    <t>всього 2017</t>
  </si>
  <si>
    <t>2018      1</t>
  </si>
  <si>
    <t xml:space="preserve">  </t>
  </si>
  <si>
    <t>всього 2018</t>
  </si>
  <si>
    <t>2019      1</t>
  </si>
  <si>
    <t>1 квартал</t>
  </si>
  <si>
    <t>2 квартал</t>
  </si>
  <si>
    <t>3 квартал</t>
  </si>
  <si>
    <t>4 квартал</t>
  </si>
  <si>
    <t>всього 2019</t>
  </si>
  <si>
    <t xml:space="preserve">2020      1   </t>
  </si>
  <si>
    <t>всього 2020</t>
  </si>
  <si>
    <t>2021      1</t>
  </si>
  <si>
    <t>всього 2021</t>
  </si>
  <si>
    <t>2022      1</t>
  </si>
  <si>
    <t>всього 2022</t>
  </si>
  <si>
    <t>2023     1</t>
  </si>
  <si>
    <t>всього 2023</t>
  </si>
  <si>
    <t>2024     1</t>
  </si>
  <si>
    <t>всього 2024</t>
  </si>
  <si>
    <t>П.О.Гриневич</t>
  </si>
  <si>
    <t xml:space="preserve"> (ініціали, прізвище)    </t>
  </si>
  <si>
    <t xml:space="preserve">       П.О.Гриневич</t>
  </si>
  <si>
    <t>інструменти</t>
  </si>
  <si>
    <t>Безоплатно отримана деревина</t>
  </si>
  <si>
    <t xml:space="preserve">     (посада)</t>
  </si>
  <si>
    <t>___________________</t>
  </si>
  <si>
    <t>РОЗРАХУНОК ПОВЕРНЕННЯ КРЕДИТНИХ КОШТІВ ТА ВІДСОТКІВ</t>
  </si>
  <si>
    <t>Директор департаменту комунального господарства та благоустрою міської ради</t>
  </si>
  <si>
    <t>Департамент комунального господарства та благоустрою міської ради</t>
  </si>
  <si>
    <t>комунальне підприємство</t>
  </si>
  <si>
    <t>збирання безпечних відходів</t>
  </si>
  <si>
    <t>Директор департаменту фінансів міської ради</t>
  </si>
  <si>
    <t>комунальне господарство</t>
  </si>
  <si>
    <t>Інші витрати (повернення коштів (авансів))</t>
  </si>
  <si>
    <t>В.о.керуючого справами виконкому</t>
  </si>
  <si>
    <t>С.Чорнолуцький</t>
  </si>
  <si>
    <r>
      <t xml:space="preserve">бульдозер    </t>
    </r>
    <r>
      <rPr>
        <sz val="9"/>
        <color rgb="FFC00000"/>
        <rFont val="Arial Cyr"/>
        <charset val="204"/>
      </rPr>
      <t>2750000,00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>14.05.19 5%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</si>
  <si>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2000000,00 </t>
    </r>
    <r>
      <rPr>
        <sz val="9"/>
        <rFont val="Arial Cyr"/>
        <charset val="204"/>
      </rPr>
      <t>27.08.19 7%</t>
    </r>
  </si>
  <si>
    <r>
      <t xml:space="preserve">2 сміттєвоз </t>
    </r>
    <r>
      <rPr>
        <sz val="9"/>
        <color rgb="FFC00000"/>
        <rFont val="Arial Cyr"/>
        <charset val="204"/>
      </rPr>
      <t>5520000,00</t>
    </r>
    <r>
      <rPr>
        <sz val="9"/>
        <rFont val="Arial Cyr"/>
        <charset val="204"/>
      </rPr>
      <t xml:space="preserve"> 30.09.19 5%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</si>
  <si>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2500000,00 </t>
    </r>
    <r>
      <rPr>
        <sz val="9"/>
        <rFont val="Arial Cyr"/>
        <charset val="204"/>
      </rPr>
      <t>31.03.20 2,5%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</si>
  <si>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2000000,00 </t>
    </r>
    <r>
      <rPr>
        <sz val="9"/>
        <rFont val="Arial Cyr"/>
        <charset val="204"/>
      </rPr>
      <t>26.08.20 6%</t>
    </r>
  </si>
  <si>
    <r>
      <t xml:space="preserve">лізинг сміттєвоз </t>
    </r>
    <r>
      <rPr>
        <sz val="9"/>
        <color rgb="FFC00000"/>
        <rFont val="Arial Cyr"/>
        <charset val="204"/>
      </rPr>
      <t>2117069,00</t>
    </r>
    <r>
      <rPr>
        <sz val="9"/>
        <rFont val="Arial Cyr"/>
        <charset val="204"/>
      </rPr>
      <t xml:space="preserve"> 23.10.18 18,8%</t>
    </r>
  </si>
  <si>
    <r>
      <t xml:space="preserve">лізинг сміттєвоз </t>
    </r>
    <r>
      <rPr>
        <sz val="9"/>
        <color rgb="FFC00000"/>
        <rFont val="Arial Cyr"/>
        <charset val="204"/>
      </rPr>
      <t>2680832,00</t>
    </r>
    <r>
      <rPr>
        <sz val="9"/>
        <rFont val="Arial Cyr"/>
        <charset val="204"/>
      </rPr>
      <t xml:space="preserve"> 02.11.18     18.8%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</si>
  <si>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2000000,00 </t>
    </r>
    <r>
      <rPr>
        <sz val="9"/>
        <rFont val="Arial Cyr"/>
        <charset val="204"/>
      </rPr>
      <t>7%</t>
    </r>
  </si>
  <si>
    <r>
      <t xml:space="preserve">лізинг сміттєвоз </t>
    </r>
    <r>
      <rPr>
        <sz val="9"/>
        <color rgb="FFC00000"/>
        <rFont val="Arial Cyr"/>
        <charset val="204"/>
      </rPr>
      <t>1796244,00</t>
    </r>
    <r>
      <rPr>
        <sz val="9"/>
        <rFont val="Arial Cyr"/>
        <charset val="204"/>
      </rPr>
      <t xml:space="preserve"> 26.03.20 </t>
    </r>
    <r>
      <rPr>
        <sz val="9"/>
        <color rgb="FF00B0F0"/>
        <rFont val="Arial Cyr"/>
        <charset val="204"/>
      </rPr>
      <t>18,8%</t>
    </r>
  </si>
  <si>
    <t>2024 рік</t>
  </si>
  <si>
    <t>розрахунки з підзвітними особами</t>
  </si>
  <si>
    <t>судовий збір</t>
  </si>
  <si>
    <t>штрафи, пені</t>
  </si>
  <si>
    <t>будівництво ангару для солі</t>
  </si>
  <si>
    <t>котельні</t>
  </si>
  <si>
    <t>кондиціонера</t>
  </si>
  <si>
    <t>автомобілів</t>
  </si>
  <si>
    <t>тракторів</t>
  </si>
  <si>
    <t>-</t>
  </si>
  <si>
    <t>програмне забезпечення</t>
  </si>
  <si>
    <t>26.03.20/25.03.25</t>
  </si>
  <si>
    <t xml:space="preserve">Додаток </t>
  </si>
  <si>
    <t>Директор департаменту економіки і інвестицій міської ради</t>
  </si>
  <si>
    <r>
      <t xml:space="preserve">Інші фінансові доходи </t>
    </r>
    <r>
      <rPr>
        <sz val="16"/>
        <rFont val="Times New Roman"/>
        <family val="1"/>
        <charset val="204"/>
      </rPr>
      <t>(розшифрувати)</t>
    </r>
  </si>
  <si>
    <t>Директор КУП</t>
  </si>
  <si>
    <t>собівартість товару</t>
  </si>
  <si>
    <t>комунальні послуги</t>
  </si>
  <si>
    <t>членські внески</t>
  </si>
  <si>
    <t>електричні вимірювання</t>
  </si>
  <si>
    <t>повірка вагів</t>
  </si>
  <si>
    <t>аварійно-рятувальне обслуговування полігону</t>
  </si>
  <si>
    <t>дератизація</t>
  </si>
  <si>
    <t xml:space="preserve">охорона полігону </t>
  </si>
  <si>
    <t>утримання приміщення</t>
  </si>
  <si>
    <t xml:space="preserve">відрядження </t>
  </si>
  <si>
    <t>транспортні послуги</t>
  </si>
  <si>
    <t>технічне обстеження полігону</t>
  </si>
  <si>
    <t>опосвідчення кисневого балону</t>
  </si>
  <si>
    <t>підписка технічного  видання</t>
  </si>
  <si>
    <t>списання простроченої кредиторської заборгованості</t>
  </si>
  <si>
    <t>реалізація інших оборотних активів</t>
  </si>
  <si>
    <t>списання дебіторської заборгованості</t>
  </si>
  <si>
    <t>штрафи, пені та донарахування податків</t>
  </si>
  <si>
    <t>собівартість реалізованих оборотних активів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</si>
  <si>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</si>
  <si>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</si>
  <si>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</si>
  <si>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</si>
  <si>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</si>
  <si>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</si>
  <si>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</si>
  <si>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обслуговування комп'ютерів</t>
  </si>
  <si>
    <t>нотаріальні послуги</t>
  </si>
  <si>
    <t>реєстраційні послуги</t>
  </si>
  <si>
    <t>асфальтування</t>
  </si>
  <si>
    <t>монтаж акумулятора сигналізації</t>
  </si>
  <si>
    <t>капітальне будівництво (розшифрувати)</t>
  </si>
  <si>
    <t>повернення авансів</t>
  </si>
  <si>
    <t>ІІ. Рух коштів у результаті інвестиційної діяльності</t>
  </si>
  <si>
    <t>комп'ютерна техніка</t>
  </si>
  <si>
    <t>торцовочна пила</t>
  </si>
  <si>
    <t xml:space="preserve">кондиціонер </t>
  </si>
  <si>
    <t>апарат плазменної різки</t>
  </si>
  <si>
    <t>котел</t>
  </si>
  <si>
    <t>пневмогайкокрут</t>
  </si>
  <si>
    <t>сміттєвози в фінансовий лізинг</t>
  </si>
  <si>
    <t>сміттєвози</t>
  </si>
  <si>
    <t>бульдозер</t>
  </si>
  <si>
    <t>придбання (виготовлення) інших необоротних матеріальних активів, усього, у тому числі:</t>
  </si>
  <si>
    <t>комп'ютерна програма</t>
  </si>
  <si>
    <t>комп'ютерної техніки</t>
  </si>
  <si>
    <t xml:space="preserve">  (підпис)</t>
  </si>
  <si>
    <t>стіл</t>
  </si>
  <si>
    <t xml:space="preserve"> Директор КУП</t>
  </si>
  <si>
    <t>Захоронення побутових відходів</t>
  </si>
  <si>
    <t>Придбання (виготовлення) основних засобів, у тому числі:</t>
  </si>
  <si>
    <t>Придбання (виготовлення) інших необоротних матеріальних активів, у тому числі:</t>
  </si>
  <si>
    <t xml:space="preserve">Директор КУП </t>
  </si>
  <si>
    <t xml:space="preserve">навантажувач фронтальний </t>
  </si>
  <si>
    <t>благодійна допомога</t>
  </si>
  <si>
    <r>
      <t xml:space="preserve">Суб'єкт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</si>
  <si>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навчання персоналу</t>
  </si>
  <si>
    <t>оренда основних засобів</t>
  </si>
  <si>
    <t>прибирання міста підрядними підприємствами</t>
  </si>
  <si>
    <t>медичний огляд</t>
  </si>
  <si>
    <t>технічний огляд техніки</t>
  </si>
  <si>
    <t>послуги GPS навігації</t>
  </si>
  <si>
    <t>послуги банків</t>
  </si>
  <si>
    <t>канцелярські товари та матеріали</t>
  </si>
  <si>
    <t>відсотки банку за залишками коштів на поточних рахунках</t>
  </si>
  <si>
    <t xml:space="preserve"> (підпис)</t>
  </si>
  <si>
    <t>зважування автомобілів</t>
  </si>
  <si>
    <t>страхові послуги</t>
  </si>
  <si>
    <t>технічне обслуговування техніки</t>
  </si>
  <si>
    <t>2025               1</t>
  </si>
  <si>
    <t>обстеження стану безпеки полігону</t>
  </si>
  <si>
    <t>діагностика техніки</t>
  </si>
  <si>
    <t>Вивезення твердих побутових відходів</t>
  </si>
  <si>
    <t>Технічний нагляд</t>
  </si>
  <si>
    <t xml:space="preserve">Нараховані до сплати податки та збори до Державного бюджету України (податкові платежі) </t>
  </si>
  <si>
    <t>контейнери для збору твердих побутових відходів</t>
  </si>
  <si>
    <t>Технічний нагляд (одержувачі бюджетних коштів)</t>
  </si>
  <si>
    <t>охорона адміністративного будинку</t>
  </si>
  <si>
    <t>коригування податку на додану вартість (ПДВ)</t>
  </si>
  <si>
    <t>послуги банків та Центру муніціпальних систем управління (ЦМСУ)</t>
  </si>
  <si>
    <r>
      <t xml:space="preserve">кошти </t>
    </r>
    <r>
      <rPr>
        <sz val="9"/>
        <color rgb="FFFF0000"/>
        <rFont val="Arial Cyr"/>
        <charset val="204"/>
      </rPr>
      <t>2500000,00</t>
    </r>
    <r>
      <rPr>
        <sz val="9"/>
        <rFont val="Arial Cyr"/>
        <charset val="204"/>
      </rPr>
      <t xml:space="preserve"> 30.03.21 2,5%</t>
    </r>
  </si>
  <si>
    <t>МКП "Вінницький фонд муніципальних інвестицій"</t>
  </si>
  <si>
    <r>
      <t xml:space="preserve">бульдозер </t>
    </r>
    <r>
      <rPr>
        <sz val="9"/>
        <color rgb="FFC00000"/>
        <rFont val="Arial Cyr"/>
        <charset val="204"/>
      </rPr>
      <t>2791540,00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 xml:space="preserve">16.08.17 </t>
    </r>
    <r>
      <rPr>
        <sz val="9"/>
        <color rgb="FFFF0000"/>
        <rFont val="Arial Cyr"/>
        <charset val="204"/>
      </rPr>
      <t>5%</t>
    </r>
  </si>
  <si>
    <t>Одиниця виміру</t>
  </si>
  <si>
    <t xml:space="preserve">Фінансовий план поточного 2021 року </t>
  </si>
  <si>
    <t xml:space="preserve">Очікуваний показник до кінця поточного 2021 року </t>
  </si>
  <si>
    <t xml:space="preserve">Плановий 2022 рік (усього) </t>
  </si>
  <si>
    <t>Факт минулого 2020 року</t>
  </si>
  <si>
    <t>гаража</t>
  </si>
  <si>
    <t>мийка АВТ без підігріву води (автоматизована)</t>
  </si>
  <si>
    <t>напівавтомат інверторний</t>
  </si>
  <si>
    <t>розміщення інформаційного матеріалу</t>
  </si>
  <si>
    <t>прибирання контейнерних майданчиків</t>
  </si>
  <si>
    <t>2025 рік</t>
  </si>
  <si>
    <t>електромонтажні роботи</t>
  </si>
  <si>
    <t>буріння свердловини та дослідження її води</t>
  </si>
  <si>
    <t>інформаційно-консультаційні послуги</t>
  </si>
  <si>
    <t>списання зносу після вибуття основного засобу</t>
  </si>
  <si>
    <t>страхове відшкодування</t>
  </si>
  <si>
    <t>стягнення судового збору на користь підприємства</t>
  </si>
  <si>
    <t>амортизація основних засобів прийнятих як подарунок</t>
  </si>
  <si>
    <t>списання основних засобів</t>
  </si>
  <si>
    <t>поворотна фінансова допомога</t>
  </si>
  <si>
    <t>мийка АВТ без підігріву води (автомтизована)</t>
  </si>
  <si>
    <t>Аналіз виконання дохідної частини звіту про виконання показників фінансового плану за 2019 рік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</si>
  <si>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</si>
  <si>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</si>
  <si>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</si>
  <si>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</si>
  <si>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</si>
  <si>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Списання простроченої кредиторської  заборгованості, коригувння ПДВ та резерву сумнівних боргів</t>
  </si>
  <si>
    <t>Списання зносу після вибуття основного засобу</t>
  </si>
  <si>
    <t>Страхове відшкодування, стягнення судового збору</t>
  </si>
  <si>
    <t>Реалізація інших оборотних активів</t>
  </si>
  <si>
    <t>Нараховані банком відсотки за залишками коштів  на поточних  рахунках</t>
  </si>
  <si>
    <t>Амортизація основних засобів, прийнятих в господарське відання</t>
  </si>
  <si>
    <t xml:space="preserve">                                                                                                                                                 Таблиця 2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</si>
  <si>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</si>
  <si>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</si>
  <si>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 xml:space="preserve">                                                                                                                                                 Таблиця 3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</si>
  <si>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</si>
  <si>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</si>
  <si>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</si>
  <si>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</si>
  <si>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</si>
  <si>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</si>
  <si>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</si>
  <si>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</si>
  <si>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</si>
  <si>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</si>
  <si>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</si>
  <si>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</si>
  <si>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</si>
  <si>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 xml:space="preserve">Відрахування частини чистого прибутку </t>
  </si>
  <si>
    <t>Амортизація основних засобів, прийнятих в подарунок</t>
  </si>
  <si>
    <t>розробка норм витрат палива</t>
  </si>
  <si>
    <t>дослідження норм накопичення на вивезення побутових відходів</t>
  </si>
  <si>
    <t>коригування резерву сумнівних боргів</t>
  </si>
  <si>
    <t>Вивезення великогабаритних побутових відходів</t>
  </si>
  <si>
    <t xml:space="preserve">за минулий 2020 рік </t>
  </si>
  <si>
    <t xml:space="preserve">за плановий 2022 рік </t>
  </si>
  <si>
    <t>надходження з фонду соціального страхування</t>
  </si>
  <si>
    <t>послуги екскаватора</t>
  </si>
  <si>
    <t>комп'ютери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</si>
  <si>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</si>
  <si>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21100 м.Вінниця  вул.Сабарівська, 7</t>
  </si>
  <si>
    <t>ФІНАНСОВИЙ ПЛАН  КУП "ЕкоВін"
на 2023 рік</t>
  </si>
  <si>
    <t xml:space="preserve">Факт
 минулого  2021 року </t>
  </si>
  <si>
    <t xml:space="preserve">Фінансовий план 
поточного 2022 року </t>
  </si>
  <si>
    <t xml:space="preserve">Очікуваний показник до кінця поточного 2022 року </t>
  </si>
  <si>
    <t xml:space="preserve">Плановий  
2023 рік </t>
  </si>
  <si>
    <t>проектна документація на землю</t>
  </si>
  <si>
    <t>відшкодування середнього заробітку мобілізованого</t>
  </si>
  <si>
    <t xml:space="preserve">Факт минулого 2021 року </t>
  </si>
  <si>
    <t xml:space="preserve">Фінансовий план поточного 2022 року </t>
  </si>
  <si>
    <t>трактор</t>
  </si>
  <si>
    <t>контейнера</t>
  </si>
  <si>
    <t xml:space="preserve">Очікуваний показник  
до кінця поточного 
2022 року </t>
  </si>
  <si>
    <t>Плановий 2023 рік до очікуваного на поточний 2022 рік, %</t>
  </si>
  <si>
    <t>Плановий 2023 рік до факту минулого 2021 року, %</t>
  </si>
  <si>
    <t>до фінансового плану на 2023 рік</t>
  </si>
  <si>
    <t>Фактичний показник за минулий 2021 рік</t>
  </si>
  <si>
    <t>Плановий показник 
поточного 2022 року</t>
  </si>
  <si>
    <t>Фактичний показник станом на 01.10.2022 року</t>
  </si>
  <si>
    <t>Заборгованість за кредитами на початок 2023 року</t>
  </si>
  <si>
    <t>Заборгованість за кредитами на кінець 2023 року</t>
  </si>
  <si>
    <t xml:space="preserve">факт
минулого 2021 року </t>
  </si>
  <si>
    <t xml:space="preserve">фінансовий план
поточного 2022 року </t>
  </si>
  <si>
    <t xml:space="preserve">плановий 2023 рік </t>
  </si>
  <si>
    <t>Плановий 2023 рік до плану поточного 
2022 року, %</t>
  </si>
  <si>
    <t>Плановий 2023 рік до факту минулого 
2021 року, %</t>
  </si>
  <si>
    <t>Заборгованість на 31.12.2022 р.</t>
  </si>
  <si>
    <t>2026 рік</t>
  </si>
  <si>
    <t>Юрій СЕМЕНЮК</t>
  </si>
  <si>
    <t>Максим МАРТЬЯНОВ</t>
  </si>
  <si>
    <t>Наталія ЛУЦЕНКО</t>
  </si>
  <si>
    <t>Петро ГРИНЕВИЧ</t>
  </si>
  <si>
    <t>Цільове фінансування  (розшифрувати)</t>
  </si>
  <si>
    <t xml:space="preserve">Плановий
2023 рік </t>
  </si>
  <si>
    <t xml:space="preserve">Факт минулого
2021 року </t>
  </si>
  <si>
    <t xml:space="preserve">Фінансовий план
поточного
 2022 року </t>
  </si>
  <si>
    <t xml:space="preserve">Короткострокові зобов'язання, усього, у тому числі: </t>
  </si>
  <si>
    <t>Інші фінансові зобов'язання, усього, у тому числі:</t>
  </si>
  <si>
    <t>Довгострокові зобов'язання, усього, у тому числі:</t>
  </si>
  <si>
    <t>Плановий 2023 рік</t>
  </si>
  <si>
    <t xml:space="preserve">Плановий 2023 рік </t>
  </si>
  <si>
    <t>плановий 2023 рік</t>
  </si>
  <si>
    <t>екологічний податок</t>
  </si>
  <si>
    <t>пільгова пенсія за шкідливі умови праці</t>
  </si>
  <si>
    <t>інші доходи (дохід від амортизації основних засобів прийнятих у господарське відання)</t>
  </si>
  <si>
    <t>Всього реалізація</t>
  </si>
  <si>
    <t>Факт минулого 2021 р.</t>
  </si>
  <si>
    <t>Очікуваний показник   2022 р.</t>
  </si>
  <si>
    <t>Плановий   2023 р.</t>
  </si>
  <si>
    <t xml:space="preserve"> 2023 р. до факту  2021 р.</t>
  </si>
  <si>
    <t>2023 р. до плану  2022 р.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</si>
  <si>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</si>
  <si>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</si>
  <si>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Структура та динаміка чисельності, середньомісячної заробітної плати     одного працівника та витрат на оплату праці</t>
  </si>
  <si>
    <t>Середня кількість працівників, у тому числі:</t>
  </si>
  <si>
    <t>Відшкодування середнього заробітку мобілізованого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</si>
</sst>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\ _₽_-;\-* #,##0.00\ _₽_-;_-* &quot;-&quot;??\ _₽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_-* #,##0.00\ _г_р_н_._-;\-* #,##0.00\ _г_р_н_._-;_-* &quot;-&quot;??\ _г_р_н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(* #,##0.0_);_(* \(#,##0.0\);_(* &quot;-&quot;_);_(@_)"/>
    <numFmt numFmtId="181" formatCode="#,##0;[Red]#,##0"/>
    <numFmt numFmtId="182" formatCode="#,##0_ ;\-#,##0\ "/>
    <numFmt numFmtId="183" formatCode="_-* #,##0\ _₽_-;\-* #,##0\ _₽_-;_-* &quot;-&quot;??\ _₽_-;_-@_-"/>
  </numFmts>
  <fonts count="11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2"/>
      <name val="Times New Roman"/>
      <family val="1"/>
      <charset val="204"/>
    </font>
    <font>
      <sz val="8"/>
      <color theme="3" tint="0.39997558519241921"/>
      <name val="Arial Cyr"/>
      <charset val="204"/>
    </font>
    <font>
      <sz val="8"/>
      <color rgb="FF00B050"/>
      <name val="Arial Cyr"/>
      <charset val="204"/>
    </font>
    <font>
      <sz val="8"/>
      <name val="Calibri"/>
      <family val="2"/>
      <scheme val="minor"/>
    </font>
    <font>
      <sz val="8"/>
      <color rgb="FFFF0000"/>
      <name val="Arial Cyr"/>
      <charset val="204"/>
    </font>
    <font>
      <b/>
      <sz val="8"/>
      <color rgb="FF00B050"/>
      <name val="Arial Cyr"/>
      <charset val="204"/>
    </font>
    <font>
      <b/>
      <sz val="8"/>
      <name val="Arial Cyr"/>
      <charset val="204"/>
    </font>
    <font>
      <b/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theme="1"/>
      <name val="Arial Cyr"/>
      <charset val="204"/>
    </font>
    <font>
      <sz val="9"/>
      <name val="Arial Cyr"/>
      <charset val="204"/>
    </font>
    <font>
      <sz val="9"/>
      <color rgb="FFC00000"/>
      <name val="Arial Cyr"/>
      <charset val="204"/>
    </font>
    <font>
      <sz val="9"/>
      <color rgb="FFFF0000"/>
      <name val="Arial Cyr"/>
      <charset val="204"/>
    </font>
    <font>
      <sz val="9"/>
      <color rgb="FF00B0F0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6"/>
      <name val="Arial Cyr"/>
      <charset val="204"/>
    </font>
    <font>
      <sz val="16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5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9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2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3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7" fontId="65" fillId="22" borderId="12" applyFill="0" applyBorder="0">
      <alignment horizontal="center" vertical="center" wrapText="1"/>
      <protection locked="0"/>
    </xf>
    <xf numFmtId="172" fontId="66" fillId="0" borderId="0">
      <alignment wrapText="1"/>
    </xf>
    <xf numFmtId="172" fontId="33" fillId="0" borderId="0">
      <alignment wrapText="1"/>
    </xf>
    <xf numFmtId="164" fontId="2" fillId="0" borderId="0" applyFont="0" applyFill="0" applyBorder="0" applyAlignment="0" applyProtection="0"/>
  </cellStyleXfs>
  <cellXfs count="812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29" borderId="0" xfId="0" applyFont="1" applyFill="1" applyAlignment="1">
      <alignment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0" fontId="8" fillId="29" borderId="0" xfId="0" applyFont="1" applyFill="1" applyAlignment="1">
      <alignment horizontal="center" vertical="center"/>
    </xf>
    <xf numFmtId="171" fontId="5" fillId="29" borderId="0" xfId="0" applyNumberFormat="1" applyFont="1" applyFill="1" applyAlignment="1">
      <alignment vertical="center"/>
    </xf>
    <xf numFmtId="0" fontId="5" fillId="29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73" fillId="29" borderId="0" xfId="0" applyFont="1" applyFill="1" applyAlignment="1">
      <alignment horizontal="left" vertical="center"/>
    </xf>
    <xf numFmtId="0" fontId="69" fillId="29" borderId="0" xfId="0" applyFont="1" applyFill="1" applyAlignment="1">
      <alignment vertical="center"/>
    </xf>
    <xf numFmtId="0" fontId="69" fillId="29" borderId="13" xfId="0" applyFont="1" applyFill="1" applyBorder="1" applyAlignment="1">
      <alignment horizontal="center" vertical="center"/>
    </xf>
    <xf numFmtId="0" fontId="69" fillId="29" borderId="13" xfId="0" applyFont="1" applyFill="1" applyBorder="1" applyAlignment="1">
      <alignment vertical="center"/>
    </xf>
    <xf numFmtId="0" fontId="73" fillId="29" borderId="0" xfId="0" applyFont="1" applyFill="1" applyAlignment="1">
      <alignment horizontal="center" vertical="center"/>
    </xf>
    <xf numFmtId="0" fontId="73" fillId="29" borderId="0" xfId="0" applyFont="1" applyFill="1" applyAlignment="1">
      <alignment vertical="center"/>
    </xf>
    <xf numFmtId="0" fontId="73" fillId="29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29" borderId="3" xfId="182" applyFont="1" applyFill="1" applyBorder="1" applyAlignment="1">
      <alignment vertical="center" wrapText="1"/>
      <protection locked="0"/>
    </xf>
    <xf numFmtId="174" fontId="69" fillId="29" borderId="3" xfId="0" applyNumberFormat="1" applyFont="1" applyFill="1" applyBorder="1" applyAlignment="1">
      <alignment horizontal="center" vertical="center" wrapText="1"/>
    </xf>
    <xf numFmtId="0" fontId="74" fillId="29" borderId="3" xfId="182" applyFont="1" applyFill="1" applyBorder="1" applyAlignment="1">
      <alignment vertical="center" wrapText="1"/>
      <protection locked="0"/>
    </xf>
    <xf numFmtId="174" fontId="74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0" quotePrefix="1" applyFont="1" applyFill="1" applyBorder="1" applyAlignment="1">
      <alignment horizontal="center" vertical="center"/>
    </xf>
    <xf numFmtId="0" fontId="74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center" vertical="center"/>
    </xf>
    <xf numFmtId="0" fontId="69" fillId="29" borderId="3" xfId="0" applyFont="1" applyFill="1" applyBorder="1" applyAlignment="1" applyProtection="1">
      <alignment horizontal="left" vertical="center" wrapText="1"/>
      <protection locked="0"/>
    </xf>
    <xf numFmtId="0" fontId="74" fillId="29" borderId="3" xfId="0" applyFont="1" applyFill="1" applyBorder="1" applyAlignment="1" applyProtection="1">
      <alignment horizontal="left" vertical="center" wrapText="1"/>
      <protection locked="0"/>
    </xf>
    <xf numFmtId="171" fontId="69" fillId="29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49" fontId="69" fillId="29" borderId="3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 wrapText="1"/>
    </xf>
    <xf numFmtId="0" fontId="74" fillId="29" borderId="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0" borderId="0" xfId="0" applyFont="1" applyFill="1" applyAlignment="1">
      <alignment vertical="center"/>
    </xf>
    <xf numFmtId="0" fontId="74" fillId="29" borderId="3" xfId="0" quotePrefix="1" applyFont="1" applyFill="1" applyBorder="1" applyAlignment="1">
      <alignment horizontal="center" vertical="center"/>
    </xf>
    <xf numFmtId="0" fontId="74" fillId="29" borderId="0" xfId="0" quotePrefix="1" applyFont="1" applyFill="1" applyBorder="1" applyAlignment="1">
      <alignment horizontal="center"/>
    </xf>
    <xf numFmtId="174" fontId="74" fillId="29" borderId="0" xfId="0" applyNumberFormat="1" applyFont="1" applyFill="1" applyBorder="1" applyAlignment="1">
      <alignment horizontal="center" vertical="center" wrapText="1"/>
    </xf>
    <xf numFmtId="49" fontId="74" fillId="29" borderId="0" xfId="0" applyNumberFormat="1" applyFont="1" applyFill="1" applyBorder="1" applyAlignment="1">
      <alignment horizontal="left" vertical="center" wrapText="1"/>
    </xf>
    <xf numFmtId="171" fontId="69" fillId="29" borderId="0" xfId="0" applyNumberFormat="1" applyFont="1" applyFill="1" applyBorder="1" applyAlignment="1">
      <alignment horizontal="center" vertical="center" wrapText="1"/>
    </xf>
    <xf numFmtId="171" fontId="69" fillId="29" borderId="0" xfId="0" applyNumberFormat="1" applyFont="1" applyFill="1" applyBorder="1" applyAlignment="1">
      <alignment horizontal="right" vertical="center" wrapText="1"/>
    </xf>
    <xf numFmtId="0" fontId="74" fillId="29" borderId="3" xfId="245" applyFont="1" applyFill="1" applyBorder="1" applyAlignment="1">
      <alignment horizontal="center" vertical="center"/>
    </xf>
    <xf numFmtId="0" fontId="69" fillId="29" borderId="0" xfId="245" applyFont="1" applyFill="1" applyBorder="1" applyAlignment="1">
      <alignment horizontal="left" vertical="center" wrapText="1"/>
    </xf>
    <xf numFmtId="0" fontId="69" fillId="29" borderId="0" xfId="245" applyFont="1" applyFill="1" applyBorder="1" applyAlignment="1">
      <alignment horizontal="center" vertical="center"/>
    </xf>
    <xf numFmtId="171" fontId="69" fillId="29" borderId="0" xfId="245" applyNumberFormat="1" applyFont="1" applyFill="1" applyBorder="1" applyAlignment="1">
      <alignment horizontal="center" vertical="center" wrapText="1"/>
    </xf>
    <xf numFmtId="171" fontId="69" fillId="29" borderId="0" xfId="245" applyNumberFormat="1" applyFont="1" applyFill="1" applyBorder="1" applyAlignment="1">
      <alignment horizontal="right" vertical="center" wrapText="1"/>
    </xf>
    <xf numFmtId="0" fontId="69" fillId="29" borderId="0" xfId="245" applyFont="1" applyFill="1" applyBorder="1" applyAlignment="1">
      <alignment vertical="center" wrapText="1"/>
    </xf>
    <xf numFmtId="0" fontId="69" fillId="29" borderId="0" xfId="245" applyFont="1" applyFill="1" applyBorder="1" applyAlignment="1">
      <alignment vertical="center"/>
    </xf>
    <xf numFmtId="0" fontId="74" fillId="29" borderId="15" xfId="245" applyFont="1" applyFill="1" applyBorder="1" applyAlignment="1">
      <alignment horizontal="left" vertical="center" wrapText="1"/>
    </xf>
    <xf numFmtId="0" fontId="74" fillId="29" borderId="14" xfId="245" applyFont="1" applyFill="1" applyBorder="1" applyAlignment="1">
      <alignment horizontal="left" vertical="center" wrapText="1"/>
    </xf>
    <xf numFmtId="0" fontId="74" fillId="29" borderId="16" xfId="245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4" fillId="29" borderId="19" xfId="0" quotePrefix="1" applyFont="1" applyFill="1" applyBorder="1" applyAlignment="1">
      <alignment horizontal="center" vertical="center"/>
    </xf>
    <xf numFmtId="0" fontId="74" fillId="29" borderId="0" xfId="0" quotePrefix="1" applyFont="1" applyFill="1" applyBorder="1" applyAlignment="1">
      <alignment horizontal="center" vertical="center"/>
    </xf>
    <xf numFmtId="170" fontId="74" fillId="29" borderId="0" xfId="0" applyNumberFormat="1" applyFont="1" applyFill="1" applyBorder="1" applyAlignment="1">
      <alignment horizontal="center" vertical="center" wrapText="1"/>
    </xf>
    <xf numFmtId="170" fontId="74" fillId="29" borderId="0" xfId="0" applyNumberFormat="1" applyFont="1" applyFill="1" applyBorder="1" applyAlignment="1">
      <alignment horizontal="right" vertical="center" wrapText="1"/>
    </xf>
    <xf numFmtId="170" fontId="74" fillId="29" borderId="0" xfId="0" applyNumberFormat="1" applyFont="1" applyFill="1" applyBorder="1" applyAlignment="1">
      <alignment horizontal="right" vertical="center"/>
    </xf>
    <xf numFmtId="0" fontId="74" fillId="29" borderId="15" xfId="245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left" vertical="center" wrapText="1"/>
    </xf>
    <xf numFmtId="0" fontId="69" fillId="29" borderId="19" xfId="0" quotePrefix="1" applyFont="1" applyFill="1" applyBorder="1" applyAlignment="1">
      <alignment horizontal="center" vertical="center"/>
    </xf>
    <xf numFmtId="3" fontId="69" fillId="29" borderId="0" xfId="0" applyNumberFormat="1" applyFont="1" applyFill="1" applyBorder="1" applyAlignment="1">
      <alignment vertical="center"/>
    </xf>
    <xf numFmtId="0" fontId="75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left" vertical="center" wrapText="1" shrinkToFit="1"/>
    </xf>
    <xf numFmtId="178" fontId="69" fillId="29" borderId="3" xfId="0" applyNumberFormat="1" applyFont="1" applyFill="1" applyBorder="1" applyAlignment="1">
      <alignment horizontal="center" vertical="center" wrapText="1"/>
    </xf>
    <xf numFmtId="1" fontId="69" fillId="29" borderId="0" xfId="0" applyNumberFormat="1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right" vertical="center"/>
    </xf>
    <xf numFmtId="3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right" vertical="center"/>
    </xf>
    <xf numFmtId="0" fontId="74" fillId="29" borderId="0" xfId="0" applyFont="1" applyFill="1" applyBorder="1" applyAlignment="1">
      <alignment horizontal="left" vertical="center"/>
    </xf>
    <xf numFmtId="0" fontId="74" fillId="29" borderId="1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 wrapText="1" shrinkToFit="1"/>
    </xf>
    <xf numFmtId="171" fontId="74" fillId="29" borderId="0" xfId="0" applyNumberFormat="1" applyFont="1" applyFill="1" applyBorder="1" applyAlignment="1">
      <alignment horizontal="center" vertical="center" wrapText="1"/>
    </xf>
    <xf numFmtId="171" fontId="74" fillId="29" borderId="0" xfId="0" applyNumberFormat="1" applyFont="1" applyFill="1" applyBorder="1" applyAlignment="1">
      <alignment horizontal="center" vertical="center"/>
    </xf>
    <xf numFmtId="3" fontId="69" fillId="29" borderId="3" xfId="0" applyNumberFormat="1" applyFont="1" applyFill="1" applyBorder="1" applyAlignment="1">
      <alignment horizontal="center" vertical="center" wrapText="1" shrinkToFit="1"/>
    </xf>
    <xf numFmtId="0" fontId="69" fillId="29" borderId="3" xfId="0" applyFont="1" applyFill="1" applyBorder="1" applyAlignment="1">
      <alignment horizontal="left" vertical="center" wrapText="1" shrinkToFit="1"/>
    </xf>
    <xf numFmtId="170" fontId="69" fillId="29" borderId="3" xfId="0" applyNumberFormat="1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3" fontId="69" fillId="29" borderId="3" xfId="0" applyNumberFormat="1" applyFont="1" applyFill="1" applyBorder="1" applyAlignment="1">
      <alignment horizontal="left" vertical="center" wrapText="1"/>
    </xf>
    <xf numFmtId="0" fontId="69" fillId="29" borderId="0" xfId="0" applyFont="1" applyFill="1" applyAlignment="1">
      <alignment vertical="center" wrapText="1" shrinkToFit="1"/>
    </xf>
    <xf numFmtId="0" fontId="69" fillId="29" borderId="0" xfId="0" applyFont="1" applyFill="1" applyBorder="1" applyAlignment="1">
      <alignment vertical="center" wrapText="1" shrinkToFi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1" fontId="5" fillId="22" borderId="0" xfId="0" applyNumberFormat="1" applyFont="1" applyFill="1" applyBorder="1" applyAlignment="1">
      <alignment horizontal="center" vertical="center" wrapText="1"/>
    </xf>
    <xf numFmtId="171" fontId="5" fillId="22" borderId="0" xfId="0" applyNumberFormat="1" applyFont="1" applyFill="1" applyBorder="1" applyAlignment="1">
      <alignment horizontal="right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left" vertical="center"/>
    </xf>
    <xf numFmtId="180" fontId="74" fillId="29" borderId="14" xfId="245" applyNumberFormat="1" applyFont="1" applyFill="1" applyBorder="1" applyAlignment="1">
      <alignment horizontal="left" vertical="center" wrapText="1"/>
    </xf>
    <xf numFmtId="180" fontId="74" fillId="29" borderId="16" xfId="245" applyNumberFormat="1" applyFont="1" applyFill="1" applyBorder="1" applyAlignment="1">
      <alignment horizontal="left" vertical="center" wrapText="1"/>
    </xf>
    <xf numFmtId="180" fontId="5" fillId="29" borderId="3" xfId="237" applyNumberFormat="1" applyFont="1" applyFill="1" applyBorder="1" applyAlignment="1">
      <alignment horizontal="center" vertical="center" wrapText="1"/>
    </xf>
    <xf numFmtId="180" fontId="5" fillId="29" borderId="0" xfId="0" applyNumberFormat="1" applyFont="1" applyFill="1" applyBorder="1" applyAlignment="1">
      <alignment horizontal="center" vertical="center" wrapText="1"/>
    </xf>
    <xf numFmtId="180" fontId="4" fillId="29" borderId="0" xfId="0" applyNumberFormat="1" applyFont="1" applyFill="1" applyBorder="1" applyAlignment="1">
      <alignment vertical="center"/>
    </xf>
    <xf numFmtId="0" fontId="7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69" fillId="29" borderId="20" xfId="0" applyFont="1" applyFill="1" applyBorder="1" applyAlignment="1">
      <alignment vertical="center"/>
    </xf>
    <xf numFmtId="0" fontId="4" fillId="22" borderId="3" xfId="0" applyFont="1" applyFill="1" applyBorder="1" applyAlignment="1">
      <alignment horizontal="center" vertical="center" wrapText="1"/>
    </xf>
    <xf numFmtId="9" fontId="0" fillId="0" borderId="28" xfId="0" applyNumberForma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174" fontId="5" fillId="29" borderId="3" xfId="0" applyNumberFormat="1" applyFont="1" applyFill="1" applyBorder="1" applyAlignment="1">
      <alignment horizontal="center" vertical="center" wrapText="1"/>
    </xf>
    <xf numFmtId="174" fontId="5" fillId="29" borderId="3" xfId="0" applyNumberFormat="1" applyFont="1" applyFill="1" applyBorder="1" applyAlignment="1">
      <alignment vertical="center"/>
    </xf>
    <xf numFmtId="174" fontId="4" fillId="29" borderId="3" xfId="0" applyNumberFormat="1" applyFont="1" applyFill="1" applyBorder="1" applyAlignment="1">
      <alignment horizontal="center" vertical="center" wrapText="1"/>
    </xf>
    <xf numFmtId="174" fontId="7" fillId="29" borderId="3" xfId="0" applyNumberFormat="1" applyFont="1" applyFill="1" applyBorder="1" applyAlignment="1">
      <alignment horizontal="right" vertical="center" wrapText="1"/>
    </xf>
    <xf numFmtId="174" fontId="5" fillId="29" borderId="3" xfId="0" applyNumberFormat="1" applyFont="1" applyFill="1" applyBorder="1" applyAlignment="1">
      <alignment horizontal="right" vertical="center" wrapText="1"/>
    </xf>
    <xf numFmtId="174" fontId="5" fillId="29" borderId="3" xfId="0" applyNumberFormat="1" applyFont="1" applyFill="1" applyBorder="1" applyAlignment="1">
      <alignment horizontal="right" vertical="center"/>
    </xf>
    <xf numFmtId="174" fontId="4" fillId="29" borderId="3" xfId="0" applyNumberFormat="1" applyFont="1" applyFill="1" applyBorder="1" applyAlignment="1">
      <alignment vertical="center"/>
    </xf>
    <xf numFmtId="174" fontId="7" fillId="29" borderId="3" xfId="0" applyNumberFormat="1" applyFont="1" applyFill="1" applyBorder="1" applyAlignment="1">
      <alignment horizontal="right" vertical="center"/>
    </xf>
    <xf numFmtId="174" fontId="4" fillId="29" borderId="3" xfId="0" applyNumberFormat="1" applyFont="1" applyFill="1" applyBorder="1" applyAlignment="1">
      <alignment horizontal="right" vertical="center" wrapText="1"/>
    </xf>
    <xf numFmtId="174" fontId="4" fillId="29" borderId="3" xfId="0" applyNumberFormat="1" applyFont="1" applyFill="1" applyBorder="1" applyAlignment="1">
      <alignment horizontal="right" vertical="center"/>
    </xf>
    <xf numFmtId="0" fontId="7" fillId="22" borderId="3" xfId="0" applyFont="1" applyFill="1" applyBorder="1" applyAlignment="1">
      <alignment horizontal="left" vertical="center" wrapText="1"/>
    </xf>
    <xf numFmtId="0" fontId="74" fillId="29" borderId="3" xfId="0" quotePrefix="1" applyNumberFormat="1" applyFont="1" applyFill="1" applyBorder="1" applyAlignment="1">
      <alignment horizontal="center" vertical="center" wrapText="1"/>
    </xf>
    <xf numFmtId="174" fontId="79" fillId="29" borderId="3" xfId="0" applyNumberFormat="1" applyFont="1" applyFill="1" applyBorder="1" applyAlignment="1">
      <alignment horizontal="right" vertical="center"/>
    </xf>
    <xf numFmtId="0" fontId="4" fillId="29" borderId="3" xfId="0" quotePrefix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80" fillId="29" borderId="13" xfId="0" applyFont="1" applyFill="1" applyBorder="1" applyAlignment="1"/>
    <xf numFmtId="0" fontId="80" fillId="29" borderId="0" xfId="0" applyFont="1" applyFill="1" applyBorder="1" applyAlignment="1"/>
    <xf numFmtId="0" fontId="5" fillId="29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174" fontId="5" fillId="0" borderId="3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horizontal="center" vertical="center" wrapText="1"/>
    </xf>
    <xf numFmtId="4" fontId="83" fillId="0" borderId="28" xfId="0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4" fillId="0" borderId="41" xfId="0" applyFont="1" applyFill="1" applyBorder="1"/>
    <xf numFmtId="4" fontId="3" fillId="0" borderId="25" xfId="0" applyNumberFormat="1" applyFont="1" applyFill="1" applyBorder="1"/>
    <xf numFmtId="4" fontId="85" fillId="0" borderId="19" xfId="0" applyNumberFormat="1" applyFont="1" applyBorder="1"/>
    <xf numFmtId="4" fontId="3" fillId="0" borderId="21" xfId="0" applyNumberFormat="1" applyFont="1" applyBorder="1"/>
    <xf numFmtId="2" fontId="3" fillId="0" borderId="19" xfId="0" applyNumberFormat="1" applyFont="1" applyBorder="1"/>
    <xf numFmtId="2" fontId="3" fillId="0" borderId="21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4" fontId="3" fillId="0" borderId="19" xfId="0" applyNumberFormat="1" applyFont="1" applyFill="1" applyBorder="1"/>
    <xf numFmtId="2" fontId="85" fillId="0" borderId="19" xfId="0" applyNumberFormat="1" applyFont="1" applyBorder="1"/>
    <xf numFmtId="2" fontId="3" fillId="0" borderId="25" xfId="0" applyNumberFormat="1" applyFont="1" applyBorder="1"/>
    <xf numFmtId="0" fontId="3" fillId="0" borderId="0" xfId="0" applyFont="1"/>
    <xf numFmtId="0" fontId="84" fillId="0" borderId="44" xfId="0" applyFont="1" applyBorder="1"/>
    <xf numFmtId="4" fontId="3" fillId="0" borderId="16" xfId="0" applyNumberFormat="1" applyFont="1" applyFill="1" applyBorder="1"/>
    <xf numFmtId="4" fontId="85" fillId="0" borderId="3" xfId="0" applyNumberFormat="1" applyFont="1" applyBorder="1"/>
    <xf numFmtId="4" fontId="3" fillId="0" borderId="1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3" fillId="0" borderId="45" xfId="0" applyNumberFormat="1" applyFont="1" applyBorder="1"/>
    <xf numFmtId="2" fontId="3" fillId="0" borderId="12" xfId="0" applyNumberFormat="1" applyFont="1" applyBorder="1"/>
    <xf numFmtId="4" fontId="3" fillId="0" borderId="3" xfId="0" applyNumberFormat="1" applyFont="1" applyFill="1" applyBorder="1"/>
    <xf numFmtId="2" fontId="85" fillId="0" borderId="3" xfId="0" applyNumberFormat="1" applyFont="1" applyBorder="1"/>
    <xf numFmtId="2" fontId="3" fillId="0" borderId="16" xfId="0" applyNumberFormat="1" applyFont="1" applyBorder="1"/>
    <xf numFmtId="0" fontId="86" fillId="0" borderId="46" xfId="0" applyFont="1" applyBorder="1"/>
    <xf numFmtId="4" fontId="86" fillId="0" borderId="16" xfId="0" applyNumberFormat="1" applyFont="1" applyFill="1" applyBorder="1"/>
    <xf numFmtId="4" fontId="86" fillId="0" borderId="17" xfId="0" applyNumberFormat="1" applyFont="1" applyBorder="1"/>
    <xf numFmtId="4" fontId="86" fillId="0" borderId="18" xfId="0" applyNumberFormat="1" applyFont="1" applyBorder="1"/>
    <xf numFmtId="4" fontId="86" fillId="0" borderId="22" xfId="0" applyNumberFormat="1" applyFont="1" applyBorder="1"/>
    <xf numFmtId="2" fontId="86" fillId="0" borderId="18" xfId="0" applyNumberFormat="1" applyFont="1" applyBorder="1"/>
    <xf numFmtId="2" fontId="86" fillId="0" borderId="15" xfId="0" applyNumberFormat="1" applyFont="1" applyBorder="1"/>
    <xf numFmtId="2" fontId="86" fillId="0" borderId="47" xfId="0" applyNumberFormat="1" applyFont="1" applyBorder="1"/>
    <xf numFmtId="2" fontId="86" fillId="0" borderId="12" xfId="0" applyNumberFormat="1" applyFont="1" applyBorder="1"/>
    <xf numFmtId="2" fontId="86" fillId="0" borderId="22" xfId="0" applyNumberFormat="1" applyFont="1" applyBorder="1"/>
    <xf numFmtId="2" fontId="86" fillId="0" borderId="45" xfId="0" applyNumberFormat="1" applyFont="1" applyBorder="1"/>
    <xf numFmtId="2" fontId="86" fillId="0" borderId="3" xfId="0" applyNumberFormat="1" applyFont="1" applyBorder="1"/>
    <xf numFmtId="2" fontId="86" fillId="0" borderId="16" xfId="0" applyNumberFormat="1" applyFont="1" applyBorder="1"/>
    <xf numFmtId="2" fontId="84" fillId="0" borderId="0" xfId="0" applyNumberFormat="1" applyFont="1"/>
    <xf numFmtId="2" fontId="3" fillId="0" borderId="22" xfId="0" applyNumberFormat="1" applyFont="1" applyBorder="1"/>
    <xf numFmtId="0" fontId="87" fillId="0" borderId="44" xfId="0" applyFont="1" applyBorder="1"/>
    <xf numFmtId="2" fontId="88" fillId="0" borderId="16" xfId="0" applyNumberFormat="1" applyFont="1" applyBorder="1"/>
    <xf numFmtId="2" fontId="88" fillId="0" borderId="3" xfId="0" applyNumberFormat="1" applyFont="1" applyBorder="1"/>
    <xf numFmtId="2" fontId="88" fillId="0" borderId="15" xfId="0" applyNumberFormat="1" applyFont="1" applyBorder="1"/>
    <xf numFmtId="2" fontId="88" fillId="0" borderId="45" xfId="0" applyNumberFormat="1" applyFont="1" applyBorder="1"/>
    <xf numFmtId="2" fontId="88" fillId="0" borderId="12" xfId="0" applyNumberFormat="1" applyFont="1" applyBorder="1"/>
    <xf numFmtId="2" fontId="87" fillId="0" borderId="0" xfId="0" applyNumberFormat="1" applyFont="1"/>
    <xf numFmtId="2" fontId="87" fillId="30" borderId="0" xfId="0" applyNumberFormat="1" applyFont="1" applyFill="1"/>
    <xf numFmtId="4" fontId="3" fillId="0" borderId="45" xfId="0" applyNumberFormat="1" applyFont="1" applyFill="1" applyBorder="1"/>
    <xf numFmtId="4" fontId="3" fillId="0" borderId="45" xfId="0" applyNumberFormat="1" applyFont="1" applyBorder="1"/>
    <xf numFmtId="4" fontId="3" fillId="0" borderId="3" xfId="0" applyNumberFormat="1" applyFont="1" applyBorder="1"/>
    <xf numFmtId="4" fontId="3" fillId="0" borderId="12" xfId="0" applyNumberFormat="1" applyFont="1" applyBorder="1"/>
    <xf numFmtId="4" fontId="3" fillId="0" borderId="16" xfId="0" applyNumberFormat="1" applyFont="1" applyBorder="1"/>
    <xf numFmtId="2" fontId="89" fillId="0" borderId="3" xfId="0" applyNumberFormat="1" applyFont="1" applyBorder="1"/>
    <xf numFmtId="4" fontId="88" fillId="0" borderId="12" xfId="0" applyNumberFormat="1" applyFont="1" applyBorder="1"/>
    <xf numFmtId="4" fontId="3" fillId="0" borderId="18" xfId="0" applyNumberFormat="1" applyFont="1" applyBorder="1"/>
    <xf numFmtId="4" fontId="3" fillId="0" borderId="14" xfId="0" applyNumberFormat="1" applyFont="1" applyBorder="1"/>
    <xf numFmtId="4" fontId="90" fillId="0" borderId="3" xfId="0" applyNumberFormat="1" applyFont="1" applyBorder="1"/>
    <xf numFmtId="2" fontId="3" fillId="0" borderId="14" xfId="0" applyNumberFormat="1" applyFont="1" applyBorder="1"/>
    <xf numFmtId="4" fontId="91" fillId="0" borderId="3" xfId="0" applyNumberFormat="1" applyFont="1" applyBorder="1"/>
    <xf numFmtId="4" fontId="88" fillId="0" borderId="14" xfId="0" applyNumberFormat="1" applyFont="1" applyBorder="1"/>
    <xf numFmtId="0" fontId="86" fillId="0" borderId="44" xfId="0" applyFont="1" applyBorder="1"/>
    <xf numFmtId="4" fontId="86" fillId="0" borderId="12" xfId="0" applyNumberFormat="1" applyFont="1" applyBorder="1"/>
    <xf numFmtId="2" fontId="86" fillId="0" borderId="14" xfId="0" applyNumberFormat="1" applyFont="1" applyBorder="1"/>
    <xf numFmtId="4" fontId="92" fillId="0" borderId="3" xfId="0" applyNumberFormat="1" applyFont="1" applyBorder="1"/>
    <xf numFmtId="4" fontId="86" fillId="0" borderId="14" xfId="0" applyNumberFormat="1" applyFont="1" applyBorder="1"/>
    <xf numFmtId="0" fontId="3" fillId="0" borderId="3" xfId="0" applyFont="1" applyBorder="1"/>
    <xf numFmtId="0" fontId="3" fillId="0" borderId="15" xfId="0" applyFont="1" applyBorder="1"/>
    <xf numFmtId="2" fontId="93" fillId="0" borderId="3" xfId="0" applyNumberFormat="1" applyFont="1" applyBorder="1"/>
    <xf numFmtId="0" fontId="86" fillId="0" borderId="3" xfId="0" applyFont="1" applyBorder="1"/>
    <xf numFmtId="0" fontId="3" fillId="0" borderId="16" xfId="0" applyFont="1" applyBorder="1"/>
    <xf numFmtId="4" fontId="85" fillId="0" borderId="3" xfId="0" applyNumberFormat="1" applyFont="1" applyFill="1" applyBorder="1"/>
    <xf numFmtId="4" fontId="86" fillId="0" borderId="45" xfId="0" applyNumberFormat="1" applyFont="1" applyBorder="1"/>
    <xf numFmtId="4" fontId="86" fillId="0" borderId="3" xfId="0" applyNumberFormat="1" applyFont="1" applyBorder="1"/>
    <xf numFmtId="4" fontId="86" fillId="0" borderId="15" xfId="0" applyNumberFormat="1" applyFont="1" applyBorder="1"/>
    <xf numFmtId="0" fontId="3" fillId="0" borderId="45" xfId="0" applyFont="1" applyBorder="1"/>
    <xf numFmtId="0" fontId="3" fillId="0" borderId="12" xfId="0" applyFont="1" applyBorder="1"/>
    <xf numFmtId="4" fontId="86" fillId="0" borderId="16" xfId="0" applyNumberFormat="1" applyFont="1" applyBorder="1"/>
    <xf numFmtId="0" fontId="84" fillId="0" borderId="3" xfId="0" applyFont="1" applyFill="1" applyBorder="1"/>
    <xf numFmtId="2" fontId="3" fillId="0" borderId="13" xfId="0" applyNumberFormat="1" applyFont="1" applyBorder="1"/>
    <xf numFmtId="2" fontId="86" fillId="0" borderId="20" xfId="0" applyNumberFormat="1" applyFont="1" applyBorder="1"/>
    <xf numFmtId="2" fontId="3" fillId="0" borderId="20" xfId="0" applyNumberFormat="1" applyFont="1" applyBorder="1"/>
    <xf numFmtId="2" fontId="88" fillId="0" borderId="14" xfId="0" applyNumberFormat="1" applyFont="1" applyBorder="1"/>
    <xf numFmtId="171" fontId="80" fillId="29" borderId="0" xfId="0" quotePrefix="1" applyNumberFormat="1" applyFont="1" applyFill="1" applyBorder="1" applyAlignment="1">
      <alignment wrapText="1"/>
    </xf>
    <xf numFmtId="0" fontId="69" fillId="29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9" fillId="29" borderId="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2" fontId="87" fillId="29" borderId="0" xfId="0" applyNumberFormat="1" applyFont="1" applyFill="1"/>
    <xf numFmtId="0" fontId="74" fillId="29" borderId="0" xfId="0" applyFont="1" applyFill="1" applyBorder="1" applyAlignment="1">
      <alignment horizontal="center" vertical="center" wrapText="1"/>
    </xf>
    <xf numFmtId="0" fontId="76" fillId="29" borderId="0" xfId="0" applyFont="1" applyFill="1" applyBorder="1" applyAlignment="1">
      <alignment horizontal="center" wrapText="1"/>
    </xf>
    <xf numFmtId="171" fontId="67" fillId="29" borderId="0" xfId="0" applyNumberFormat="1" applyFont="1" applyFill="1" applyBorder="1" applyAlignment="1"/>
    <xf numFmtId="0" fontId="74" fillId="29" borderId="0" xfId="0" applyFont="1" applyFill="1" applyBorder="1" applyAlignment="1"/>
    <xf numFmtId="0" fontId="74" fillId="0" borderId="0" xfId="0" applyFont="1" applyFill="1" applyBorder="1" applyAlignment="1"/>
    <xf numFmtId="0" fontId="5" fillId="29" borderId="0" xfId="0" applyFont="1" applyFill="1" applyBorder="1" applyAlignment="1">
      <alignment horizontal="center" vertical="top"/>
    </xf>
    <xf numFmtId="0" fontId="5" fillId="29" borderId="0" xfId="0" applyFont="1" applyFill="1" applyBorder="1" applyAlignment="1">
      <alignment vertical="top"/>
    </xf>
    <xf numFmtId="0" fontId="5" fillId="29" borderId="0" xfId="0" applyFont="1" applyFill="1" applyAlignment="1">
      <alignment horizontal="left" vertical="top"/>
    </xf>
    <xf numFmtId="0" fontId="5" fillId="29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29" borderId="0" xfId="0" applyFont="1" applyFill="1" applyBorder="1" applyAlignment="1">
      <alignment horizontal="center" vertical="center" wrapText="1"/>
    </xf>
    <xf numFmtId="171" fontId="5" fillId="29" borderId="0" xfId="0" applyNumberFormat="1" applyFont="1" applyFill="1" applyBorder="1" applyAlignment="1">
      <alignment horizontal="right" vertical="center" wrapText="1"/>
    </xf>
    <xf numFmtId="0" fontId="78" fillId="29" borderId="0" xfId="0" applyFont="1" applyFill="1" applyBorder="1" applyAlignment="1">
      <alignment horizontal="center" wrapText="1"/>
    </xf>
    <xf numFmtId="0" fontId="4" fillId="29" borderId="0" xfId="0" quotePrefix="1" applyFont="1" applyFill="1" applyBorder="1" applyAlignment="1">
      <alignment horizontal="center"/>
    </xf>
    <xf numFmtId="171" fontId="4" fillId="29" borderId="0" xfId="0" quotePrefix="1" applyNumberFormat="1" applyFont="1" applyFill="1" applyBorder="1" applyAlignment="1">
      <alignment wrapText="1"/>
    </xf>
    <xf numFmtId="0" fontId="80" fillId="29" borderId="0" xfId="0" applyFont="1" applyFill="1" applyBorder="1" applyAlignment="1">
      <alignment horizontal="center" vertical="top"/>
    </xf>
    <xf numFmtId="0" fontId="80" fillId="29" borderId="0" xfId="0" applyFont="1" applyFill="1" applyBorder="1" applyAlignment="1">
      <alignment vertical="top"/>
    </xf>
    <xf numFmtId="0" fontId="80" fillId="29" borderId="0" xfId="0" applyFont="1" applyFill="1" applyBorder="1" applyAlignment="1">
      <alignment horizontal="left" vertical="top"/>
    </xf>
    <xf numFmtId="0" fontId="80" fillId="0" borderId="0" xfId="0" applyFont="1" applyFill="1" applyBorder="1" applyAlignment="1">
      <alignment vertical="top"/>
    </xf>
    <xf numFmtId="0" fontId="69" fillId="29" borderId="3" xfId="245" applyFont="1" applyFill="1" applyBorder="1" applyAlignment="1">
      <alignment horizontal="center" vertical="center" wrapText="1"/>
    </xf>
    <xf numFmtId="0" fontId="80" fillId="29" borderId="0" xfId="0" applyFont="1" applyFill="1" applyAlignment="1">
      <alignment horizontal="left" vertical="top"/>
    </xf>
    <xf numFmtId="0" fontId="5" fillId="29" borderId="0" xfId="0" quotePrefix="1" applyFont="1" applyFill="1" applyBorder="1" applyAlignment="1">
      <alignment horizontal="center"/>
    </xf>
    <xf numFmtId="0" fontId="100" fillId="29" borderId="0" xfId="0" applyFont="1" applyFill="1" applyBorder="1" applyAlignment="1">
      <alignment vertical="top"/>
    </xf>
    <xf numFmtId="0" fontId="67" fillId="29" borderId="3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/>
    </xf>
    <xf numFmtId="0" fontId="69" fillId="29" borderId="3" xfId="0" applyNumberFormat="1" applyFont="1" applyFill="1" applyBorder="1" applyAlignment="1">
      <alignment horizontal="center" vertical="center" wrapText="1"/>
    </xf>
    <xf numFmtId="0" fontId="74" fillId="29" borderId="0" xfId="0" applyFont="1" applyFill="1" applyAlignment="1"/>
    <xf numFmtId="0" fontId="6" fillId="29" borderId="0" xfId="0" applyFont="1" applyFill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4" fillId="29" borderId="3" xfId="0" quotePrefix="1" applyNumberFormat="1" applyFont="1" applyFill="1" applyBorder="1" applyAlignment="1">
      <alignment horizontal="center" vertical="center" wrapText="1"/>
    </xf>
    <xf numFmtId="171" fontId="6" fillId="29" borderId="0" xfId="0" applyNumberFormat="1" applyFont="1" applyFill="1" applyBorder="1" applyAlignment="1"/>
    <xf numFmtId="0" fontId="5" fillId="0" borderId="0" xfId="0" applyFont="1" applyAlignment="1"/>
    <xf numFmtId="0" fontId="80" fillId="0" borderId="0" xfId="0" applyFont="1" applyAlignment="1">
      <alignment vertical="top"/>
    </xf>
    <xf numFmtId="0" fontId="4" fillId="29" borderId="13" xfId="0" applyFont="1" applyFill="1" applyBorder="1" applyAlignment="1"/>
    <xf numFmtId="0" fontId="0" fillId="0" borderId="0" xfId="0" applyAlignment="1">
      <alignment horizontal="center"/>
    </xf>
    <xf numFmtId="0" fontId="86" fillId="0" borderId="0" xfId="0" applyFont="1" applyBorder="1"/>
    <xf numFmtId="0" fontId="3" fillId="0" borderId="0" xfId="0" applyFont="1" applyBorder="1"/>
    <xf numFmtId="4" fontId="86" fillId="0" borderId="0" xfId="0" applyNumberFormat="1" applyFont="1" applyBorder="1"/>
    <xf numFmtId="4" fontId="3" fillId="0" borderId="20" xfId="0" applyNumberFormat="1" applyFont="1" applyBorder="1"/>
    <xf numFmtId="4" fontId="3" fillId="0" borderId="0" xfId="0" applyNumberFormat="1" applyFont="1" applyBorder="1"/>
    <xf numFmtId="0" fontId="84" fillId="0" borderId="0" xfId="0" applyFont="1" applyBorder="1"/>
    <xf numFmtId="0" fontId="3" fillId="0" borderId="14" xfId="0" applyFont="1" applyBorder="1"/>
    <xf numFmtId="4" fontId="91" fillId="0" borderId="16" xfId="0" applyNumberFormat="1" applyFont="1" applyBorder="1"/>
    <xf numFmtId="4" fontId="3" fillId="0" borderId="13" xfId="0" applyNumberFormat="1" applyFont="1" applyBorder="1"/>
    <xf numFmtId="4" fontId="88" fillId="0" borderId="45" xfId="0" applyNumberFormat="1" applyFont="1" applyFill="1" applyBorder="1"/>
    <xf numFmtId="4" fontId="88" fillId="0" borderId="45" xfId="0" applyNumberFormat="1" applyFont="1" applyBorder="1"/>
    <xf numFmtId="4" fontId="88" fillId="0" borderId="0" xfId="0" applyNumberFormat="1" applyFont="1" applyBorder="1"/>
    <xf numFmtId="0" fontId="69" fillId="29" borderId="0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left" vertical="center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70" fillId="29" borderId="0" xfId="0" applyFont="1" applyFill="1" applyAlignment="1">
      <alignment vertical="center"/>
    </xf>
    <xf numFmtId="0" fontId="69" fillId="29" borderId="0" xfId="0" applyFont="1" applyFill="1" applyAlignment="1">
      <alignment horizontal="left" vertical="center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80" fillId="29" borderId="0" xfId="0" applyFont="1" applyFill="1" applyBorder="1" applyAlignment="1">
      <alignment horizontal="center" vertical="top"/>
    </xf>
    <xf numFmtId="0" fontId="5" fillId="29" borderId="0" xfId="0" applyFont="1" applyFill="1" applyBorder="1" applyAlignment="1">
      <alignment horizontal="center" vertical="top"/>
    </xf>
    <xf numFmtId="0" fontId="80" fillId="29" borderId="0" xfId="0" applyFont="1" applyFill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69" fillId="29" borderId="15" xfId="0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vertical="center"/>
    </xf>
    <xf numFmtId="0" fontId="74" fillId="29" borderId="0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5" fillId="29" borderId="0" xfId="0" applyFont="1" applyFill="1" applyAlignment="1">
      <alignment horizontal="center" vertical="center"/>
    </xf>
    <xf numFmtId="0" fontId="76" fillId="29" borderId="0" xfId="0" applyFont="1" applyFill="1" applyBorder="1" applyAlignment="1">
      <alignment horizontal="center" wrapText="1"/>
    </xf>
    <xf numFmtId="0" fontId="74" fillId="29" borderId="0" xfId="0" applyFont="1" applyFill="1" applyBorder="1" applyAlignment="1">
      <alignment horizontal="center"/>
    </xf>
    <xf numFmtId="180" fontId="69" fillId="29" borderId="3" xfId="0" applyNumberFormat="1" applyFont="1" applyFill="1" applyBorder="1" applyAlignment="1">
      <alignment horizontal="center" vertical="center" wrapText="1"/>
    </xf>
    <xf numFmtId="180" fontId="74" fillId="29" borderId="3" xfId="0" applyNumberFormat="1" applyFont="1" applyFill="1" applyBorder="1" applyAlignment="1">
      <alignment horizontal="center" vertical="center" wrapText="1"/>
    </xf>
    <xf numFmtId="49" fontId="74" fillId="29" borderId="3" xfId="0" applyNumberFormat="1" applyFont="1" applyFill="1" applyBorder="1" applyAlignment="1">
      <alignment horizontal="left" vertical="center" wrapText="1"/>
    </xf>
    <xf numFmtId="0" fontId="74" fillId="29" borderId="3" xfId="0" applyFont="1" applyFill="1" applyBorder="1" applyAlignment="1">
      <alignment horizontal="left" vertical="center" wrapText="1"/>
    </xf>
    <xf numFmtId="49" fontId="69" fillId="29" borderId="3" xfId="0" applyNumberFormat="1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/>
    </xf>
    <xf numFmtId="0" fontId="69" fillId="29" borderId="14" xfId="0" applyFont="1" applyFill="1" applyBorder="1" applyAlignment="1">
      <alignment vertical="center"/>
    </xf>
    <xf numFmtId="0" fontId="69" fillId="29" borderId="16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/>
    </xf>
    <xf numFmtId="0" fontId="69" fillId="29" borderId="14" xfId="0" applyFont="1" applyFill="1" applyBorder="1" applyAlignment="1">
      <alignment vertical="center" wrapText="1"/>
    </xf>
    <xf numFmtId="0" fontId="69" fillId="29" borderId="16" xfId="0" applyFont="1" applyFill="1" applyBorder="1" applyAlignment="1">
      <alignment vertical="center" wrapText="1"/>
    </xf>
    <xf numFmtId="0" fontId="69" fillId="29" borderId="3" xfId="0" applyFont="1" applyFill="1" applyBorder="1" applyAlignment="1">
      <alignment vertical="center"/>
    </xf>
    <xf numFmtId="0" fontId="69" fillId="29" borderId="16" xfId="0" applyFont="1" applyFill="1" applyBorder="1" applyAlignment="1">
      <alignment horizontal="right" vertical="center" wrapText="1"/>
    </xf>
    <xf numFmtId="0" fontId="72" fillId="29" borderId="0" xfId="0" applyFont="1" applyFill="1" applyAlignment="1">
      <alignment horizontal="center" vertical="center"/>
    </xf>
    <xf numFmtId="0" fontId="74" fillId="29" borderId="0" xfId="0" applyFont="1" applyFill="1" applyBorder="1" applyAlignment="1" applyProtection="1">
      <alignment horizontal="left" vertical="center"/>
      <protection locked="0"/>
    </xf>
    <xf numFmtId="171" fontId="74" fillId="29" borderId="0" xfId="0" applyNumberFormat="1" applyFont="1" applyFill="1" applyBorder="1" applyAlignment="1">
      <alignment horizontal="right" vertical="center" wrapText="1"/>
    </xf>
    <xf numFmtId="0" fontId="5" fillId="29" borderId="0" xfId="0" applyFont="1" applyFill="1" applyAlignment="1">
      <alignment horizontal="left" vertical="center"/>
    </xf>
    <xf numFmtId="0" fontId="69" fillId="29" borderId="0" xfId="0" applyFont="1" applyFill="1" applyBorder="1" applyAlignment="1">
      <alignment vertical="center" wrapText="1"/>
    </xf>
    <xf numFmtId="0" fontId="72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/>
    <xf numFmtId="174" fontId="5" fillId="29" borderId="0" xfId="0" applyNumberFormat="1" applyFont="1" applyFill="1" applyBorder="1" applyAlignment="1">
      <alignment vertical="center"/>
    </xf>
    <xf numFmtId="0" fontId="5" fillId="29" borderId="3" xfId="0" applyFont="1" applyFill="1" applyBorder="1"/>
    <xf numFmtId="0" fontId="4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quotePrefix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 wrapText="1"/>
    </xf>
    <xf numFmtId="171" fontId="5" fillId="29" borderId="0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/>
    <xf numFmtId="0" fontId="5" fillId="29" borderId="0" xfId="0" applyFont="1" applyFill="1" applyBorder="1" applyAlignment="1">
      <alignment vertical="center" wrapText="1"/>
    </xf>
    <xf numFmtId="0" fontId="74" fillId="29" borderId="0" xfId="245" applyFont="1" applyFill="1" applyBorder="1" applyAlignment="1">
      <alignment horizontal="right" vertical="center"/>
    </xf>
    <xf numFmtId="0" fontId="72" fillId="29" borderId="0" xfId="245" applyFont="1" applyFill="1" applyBorder="1" applyAlignment="1">
      <alignment horizontal="center" vertical="center"/>
    </xf>
    <xf numFmtId="0" fontId="74" fillId="29" borderId="0" xfId="245" applyFont="1" applyFill="1" applyBorder="1" applyAlignment="1">
      <alignment vertical="center"/>
    </xf>
    <xf numFmtId="0" fontId="74" fillId="29" borderId="0" xfId="245" applyFont="1" applyFill="1" applyBorder="1" applyAlignment="1">
      <alignment horizontal="center" vertical="center"/>
    </xf>
    <xf numFmtId="0" fontId="74" fillId="29" borderId="0" xfId="0" applyFont="1" applyFill="1" applyAlignment="1">
      <alignment horizontal="right" vertical="center"/>
    </xf>
    <xf numFmtId="0" fontId="70" fillId="29" borderId="0" xfId="245" applyFont="1" applyFill="1"/>
    <xf numFmtId="0" fontId="74" fillId="29" borderId="0" xfId="0" applyFont="1" applyFill="1" applyAlignment="1">
      <alignment vertical="center"/>
    </xf>
    <xf numFmtId="0" fontId="4" fillId="29" borderId="0" xfId="0" quotePrefix="1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left" vertical="center" wrapText="1"/>
    </xf>
    <xf numFmtId="0" fontId="4" fillId="29" borderId="0" xfId="0" applyFont="1" applyFill="1" applyAlignment="1">
      <alignment horizontal="right" vertical="center"/>
    </xf>
    <xf numFmtId="0" fontId="5" fillId="29" borderId="0" xfId="0" applyFont="1" applyFill="1"/>
    <xf numFmtId="0" fontId="5" fillId="29" borderId="3" xfId="237" applyNumberFormat="1" applyFont="1" applyFill="1" applyBorder="1" applyAlignment="1">
      <alignment horizontal="left" vertical="top" wrapText="1"/>
    </xf>
    <xf numFmtId="0" fontId="5" fillId="29" borderId="3" xfId="237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center" vertical="center"/>
    </xf>
    <xf numFmtId="0" fontId="101" fillId="29" borderId="0" xfId="0" applyFont="1" applyFill="1" applyBorder="1" applyAlignment="1">
      <alignment horizontal="center" vertical="center"/>
    </xf>
    <xf numFmtId="0" fontId="101" fillId="29" borderId="0" xfId="0" applyFont="1" applyFill="1" applyAlignment="1">
      <alignment vertical="center"/>
    </xf>
    <xf numFmtId="0" fontId="80" fillId="29" borderId="0" xfId="0" applyFont="1" applyFill="1" applyAlignment="1">
      <alignment vertical="center"/>
    </xf>
    <xf numFmtId="0" fontId="67" fillId="29" borderId="0" xfId="0" applyFont="1" applyFill="1" applyAlignment="1">
      <alignment vertical="center"/>
    </xf>
    <xf numFmtId="0" fontId="70" fillId="29" borderId="0" xfId="0" applyFont="1" applyFill="1"/>
    <xf numFmtId="0" fontId="70" fillId="29" borderId="0" xfId="0" applyFont="1" applyFill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3" fontId="69" fillId="29" borderId="3" xfId="0" applyNumberFormat="1" applyFont="1" applyFill="1" applyBorder="1" applyAlignment="1">
      <alignment horizontal="center" vertical="center"/>
    </xf>
    <xf numFmtId="174" fontId="69" fillId="29" borderId="0" xfId="0" applyNumberFormat="1" applyFont="1" applyFill="1" applyBorder="1" applyAlignment="1">
      <alignment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3" fontId="4" fillId="29" borderId="3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wrapText="1"/>
    </xf>
    <xf numFmtId="171" fontId="4" fillId="29" borderId="0" xfId="0" applyNumberFormat="1" applyFont="1" applyFill="1" applyBorder="1" applyAlignment="1">
      <alignment horizontal="right" wrapText="1"/>
    </xf>
    <xf numFmtId="4" fontId="88" fillId="0" borderId="48" xfId="0" applyNumberFormat="1" applyFont="1" applyFill="1" applyBorder="1"/>
    <xf numFmtId="4" fontId="88" fillId="0" borderId="48" xfId="0" applyNumberFormat="1" applyFont="1" applyBorder="1"/>
    <xf numFmtId="4" fontId="3" fillId="29" borderId="14" xfId="0" applyNumberFormat="1" applyFont="1" applyFill="1" applyBorder="1"/>
    <xf numFmtId="49" fontId="69" fillId="29" borderId="3" xfId="0" applyNumberFormat="1" applyFont="1" applyFill="1" applyBorder="1" applyAlignment="1">
      <alignment horizontal="left" vertical="center" wrapText="1"/>
    </xf>
    <xf numFmtId="0" fontId="103" fillId="29" borderId="0" xfId="0" applyFont="1" applyFill="1" applyBorder="1" applyAlignment="1">
      <alignment horizontal="left" vertical="center"/>
    </xf>
    <xf numFmtId="0" fontId="0" fillId="29" borderId="0" xfId="0" applyFill="1"/>
    <xf numFmtId="0" fontId="107" fillId="29" borderId="19" xfId="0" applyFont="1" applyFill="1" applyBorder="1" applyAlignment="1">
      <alignment wrapText="1"/>
    </xf>
    <xf numFmtId="179" fontId="107" fillId="29" borderId="19" xfId="0" applyNumberFormat="1" applyFont="1" applyFill="1" applyBorder="1" applyAlignment="1">
      <alignment horizontal="center" wrapText="1"/>
    </xf>
    <xf numFmtId="1" fontId="107" fillId="29" borderId="19" xfId="0" applyNumberFormat="1" applyFont="1" applyFill="1" applyBorder="1" applyAlignment="1">
      <alignment horizontal="center" wrapText="1"/>
    </xf>
    <xf numFmtId="170" fontId="107" fillId="29" borderId="19" xfId="0" applyNumberFormat="1" applyFont="1" applyFill="1" applyBorder="1" applyAlignment="1">
      <alignment horizontal="center" wrapText="1"/>
    </xf>
    <xf numFmtId="0" fontId="106" fillId="29" borderId="3" xfId="0" applyFont="1" applyFill="1" applyBorder="1" applyAlignment="1">
      <alignment wrapText="1"/>
    </xf>
    <xf numFmtId="0" fontId="80" fillId="29" borderId="3" xfId="0" applyFont="1" applyFill="1" applyBorder="1"/>
    <xf numFmtId="179" fontId="106" fillId="29" borderId="3" xfId="0" applyNumberFormat="1" applyFont="1" applyFill="1" applyBorder="1" applyAlignment="1">
      <alignment horizontal="center" wrapText="1"/>
    </xf>
    <xf numFmtId="1" fontId="106" fillId="29" borderId="19" xfId="0" applyNumberFormat="1" applyFont="1" applyFill="1" applyBorder="1" applyAlignment="1">
      <alignment horizontal="center" wrapText="1"/>
    </xf>
    <xf numFmtId="170" fontId="106" fillId="29" borderId="19" xfId="0" applyNumberFormat="1" applyFont="1" applyFill="1" applyBorder="1" applyAlignment="1">
      <alignment horizontal="center" wrapText="1"/>
    </xf>
    <xf numFmtId="179" fontId="0" fillId="29" borderId="0" xfId="0" applyNumberFormat="1" applyFill="1"/>
    <xf numFmtId="0" fontId="80" fillId="29" borderId="3" xfId="0" applyFont="1" applyFill="1" applyBorder="1" applyAlignment="1">
      <alignment wrapText="1"/>
    </xf>
    <xf numFmtId="0" fontId="107" fillId="29" borderId="3" xfId="0" applyFont="1" applyFill="1" applyBorder="1" applyAlignment="1">
      <alignment wrapText="1"/>
    </xf>
    <xf numFmtId="181" fontId="100" fillId="29" borderId="3" xfId="0" applyNumberFormat="1" applyFont="1" applyFill="1" applyBorder="1" applyAlignment="1">
      <alignment horizontal="center" wrapText="1"/>
    </xf>
    <xf numFmtId="181" fontId="80" fillId="29" borderId="3" xfId="0" applyNumberFormat="1" applyFont="1" applyFill="1" applyBorder="1" applyAlignment="1">
      <alignment horizontal="center" wrapText="1"/>
    </xf>
    <xf numFmtId="181" fontId="110" fillId="29" borderId="3" xfId="0" applyNumberFormat="1" applyFont="1" applyFill="1" applyBorder="1" applyAlignment="1">
      <alignment horizontal="center" wrapText="1"/>
    </xf>
    <xf numFmtId="0" fontId="106" fillId="29" borderId="49" xfId="0" applyFont="1" applyFill="1" applyBorder="1" applyAlignment="1">
      <alignment wrapText="1"/>
    </xf>
    <xf numFmtId="0" fontId="109" fillId="29" borderId="0" xfId="0" applyFont="1" applyFill="1"/>
    <xf numFmtId="0" fontId="104" fillId="29" borderId="0" xfId="0" applyFont="1" applyFill="1"/>
    <xf numFmtId="0" fontId="111" fillId="29" borderId="0" xfId="0" applyFont="1" applyFill="1"/>
    <xf numFmtId="182" fontId="106" fillId="29" borderId="3" xfId="0" applyNumberFormat="1" applyFont="1" applyFill="1" applyBorder="1" applyAlignment="1">
      <alignment horizontal="center" wrapText="1"/>
    </xf>
    <xf numFmtId="0" fontId="106" fillId="29" borderId="0" xfId="0" applyFont="1" applyFill="1"/>
    <xf numFmtId="0" fontId="112" fillId="29" borderId="0" xfId="0" applyFont="1" applyFill="1"/>
    <xf numFmtId="0" fontId="112" fillId="29" borderId="0" xfId="0" applyFont="1" applyFill="1" applyAlignment="1">
      <alignment horizontal="right"/>
    </xf>
    <xf numFmtId="179" fontId="107" fillId="29" borderId="3" xfId="0" applyNumberFormat="1" applyFont="1" applyFill="1" applyBorder="1" applyAlignment="1">
      <alignment horizontal="center" wrapText="1"/>
    </xf>
    <xf numFmtId="179" fontId="106" fillId="29" borderId="3" xfId="0" quotePrefix="1" applyNumberFormat="1" applyFont="1" applyFill="1" applyBorder="1" applyAlignment="1">
      <alignment horizontal="center" wrapText="1"/>
    </xf>
    <xf numFmtId="0" fontId="104" fillId="29" borderId="3" xfId="0" applyFont="1" applyFill="1" applyBorder="1" applyAlignment="1">
      <alignment horizontal="left" vertical="center" wrapText="1"/>
    </xf>
    <xf numFmtId="0" fontId="80" fillId="29" borderId="0" xfId="0" applyFont="1" applyFill="1"/>
    <xf numFmtId="3" fontId="80" fillId="29" borderId="3" xfId="0" applyNumberFormat="1" applyFont="1" applyFill="1" applyBorder="1"/>
    <xf numFmtId="0" fontId="69" fillId="29" borderId="15" xfId="0" applyFont="1" applyFill="1" applyBorder="1" applyAlignment="1">
      <alignment horizontal="left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vertical="center" wrapText="1"/>
    </xf>
    <xf numFmtId="3" fontId="69" fillId="29" borderId="3" xfId="0" applyNumberFormat="1" applyFont="1" applyFill="1" applyBorder="1" applyAlignment="1">
      <alignment vertical="center" wrapText="1"/>
    </xf>
    <xf numFmtId="3" fontId="69" fillId="29" borderId="3" xfId="0" applyNumberFormat="1" applyFont="1" applyFill="1" applyBorder="1" applyAlignment="1">
      <alignment vertical="center"/>
    </xf>
    <xf numFmtId="170" fontId="69" fillId="29" borderId="3" xfId="0" applyNumberFormat="1" applyFont="1" applyFill="1" applyBorder="1" applyAlignment="1">
      <alignment vertical="center" wrapText="1"/>
    </xf>
    <xf numFmtId="3" fontId="98" fillId="29" borderId="3" xfId="0" applyNumberFormat="1" applyFont="1" applyFill="1" applyBorder="1" applyAlignment="1">
      <alignment vertical="center"/>
    </xf>
    <xf numFmtId="171" fontId="74" fillId="29" borderId="3" xfId="0" applyNumberFormat="1" applyFont="1" applyFill="1" applyBorder="1" applyAlignment="1">
      <alignment vertical="center" wrapText="1"/>
    </xf>
    <xf numFmtId="3" fontId="74" fillId="29" borderId="3" xfId="0" applyNumberFormat="1" applyFont="1" applyFill="1" applyBorder="1" applyAlignment="1">
      <alignment vertical="center" wrapText="1"/>
    </xf>
    <xf numFmtId="0" fontId="80" fillId="29" borderId="0" xfId="0" applyFont="1" applyFill="1" applyBorder="1" applyAlignment="1">
      <alignment horizontal="center" vertical="center"/>
    </xf>
    <xf numFmtId="0" fontId="106" fillId="29" borderId="3" xfId="0" applyFont="1" applyFill="1" applyBorder="1" applyAlignment="1">
      <alignment horizontal="center" vertical="center" wrapText="1"/>
    </xf>
    <xf numFmtId="174" fontId="69" fillId="29" borderId="0" xfId="245" applyNumberFormat="1" applyFont="1" applyFill="1" applyBorder="1" applyAlignment="1">
      <alignment horizontal="center" vertical="center"/>
    </xf>
    <xf numFmtId="174" fontId="69" fillId="29" borderId="0" xfId="0" applyNumberFormat="1" applyFont="1" applyFill="1" applyAlignment="1">
      <alignment horizontal="center" vertical="center"/>
    </xf>
    <xf numFmtId="0" fontId="113" fillId="31" borderId="0" xfId="245" applyFont="1" applyFill="1" applyBorder="1" applyAlignment="1">
      <alignment vertical="center"/>
    </xf>
    <xf numFmtId="174" fontId="113" fillId="31" borderId="0" xfId="0" applyNumberFormat="1" applyFont="1" applyFill="1" applyAlignment="1">
      <alignment horizontal="center" vertical="center"/>
    </xf>
    <xf numFmtId="174" fontId="69" fillId="0" borderId="3" xfId="0" applyNumberFormat="1" applyFont="1" applyFill="1" applyBorder="1" applyAlignment="1">
      <alignment horizontal="center" vertical="center" wrapText="1"/>
    </xf>
    <xf numFmtId="174" fontId="74" fillId="0" borderId="3" xfId="0" applyNumberFormat="1" applyFont="1" applyFill="1" applyBorder="1" applyAlignment="1">
      <alignment horizontal="center" vertical="center" wrapText="1"/>
    </xf>
    <xf numFmtId="174" fontId="74" fillId="29" borderId="14" xfId="245" applyNumberFormat="1" applyFont="1" applyFill="1" applyBorder="1" applyAlignment="1">
      <alignment horizontal="left" vertical="center" wrapText="1"/>
    </xf>
    <xf numFmtId="174" fontId="69" fillId="29" borderId="0" xfId="0" applyNumberFormat="1" applyFont="1" applyFill="1" applyAlignment="1">
      <alignment vertical="center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left" vertical="center" wrapText="1"/>
    </xf>
    <xf numFmtId="0" fontId="74" fillId="29" borderId="3" xfId="0" applyFont="1" applyFill="1" applyBorder="1" applyAlignment="1">
      <alignment horizontal="left" vertical="center" wrapText="1"/>
    </xf>
    <xf numFmtId="174" fontId="69" fillId="29" borderId="0" xfId="0" applyNumberFormat="1" applyFont="1" applyFill="1" applyBorder="1" applyAlignment="1">
      <alignment horizontal="center" vertical="center" wrapText="1"/>
    </xf>
    <xf numFmtId="170" fontId="98" fillId="29" borderId="3" xfId="0" applyNumberFormat="1" applyFont="1" applyFill="1" applyBorder="1" applyAlignment="1">
      <alignment vertical="center" wrapText="1"/>
    </xf>
    <xf numFmtId="0" fontId="69" fillId="29" borderId="14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171" fontId="69" fillId="29" borderId="3" xfId="0" applyNumberFormat="1" applyFont="1" applyFill="1" applyBorder="1" applyAlignment="1">
      <alignment horizontal="center" vertical="center"/>
    </xf>
    <xf numFmtId="2" fontId="69" fillId="29" borderId="3" xfId="0" applyNumberFormat="1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top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29" borderId="15" xfId="0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76" fillId="29" borderId="0" xfId="0" applyFont="1" applyFill="1" applyBorder="1" applyAlignment="1">
      <alignment horizontal="center" wrapText="1"/>
    </xf>
    <xf numFmtId="0" fontId="74" fillId="29" borderId="3" xfId="0" applyFont="1" applyFill="1" applyBorder="1" applyAlignment="1">
      <alignment horizontal="left" vertical="center" wrapText="1"/>
    </xf>
    <xf numFmtId="171" fontId="74" fillId="29" borderId="0" xfId="0" quotePrefix="1" applyNumberFormat="1" applyFont="1" applyFill="1" applyBorder="1" applyAlignment="1">
      <alignment wrapText="1"/>
    </xf>
    <xf numFmtId="0" fontId="69" fillId="29" borderId="18" xfId="0" applyFont="1" applyFill="1" applyBorder="1" applyAlignment="1">
      <alignment horizontal="left" vertical="center" wrapText="1"/>
    </xf>
    <xf numFmtId="174" fontId="69" fillId="29" borderId="3" xfId="0" applyNumberFormat="1" applyFont="1" applyFill="1" applyBorder="1" applyAlignment="1">
      <alignment horizontal="right" vertical="center" wrapText="1"/>
    </xf>
    <xf numFmtId="174" fontId="69" fillId="29" borderId="3" xfId="0" applyNumberFormat="1" applyFont="1" applyFill="1" applyBorder="1" applyAlignment="1">
      <alignment horizontal="right" vertical="center"/>
    </xf>
    <xf numFmtId="0" fontId="67" fillId="29" borderId="3" xfId="0" applyFont="1" applyFill="1" applyBorder="1" applyAlignment="1">
      <alignment horizontal="left" vertical="center" wrapText="1"/>
    </xf>
    <xf numFmtId="174" fontId="72" fillId="29" borderId="3" xfId="0" applyNumberFormat="1" applyFont="1" applyFill="1" applyBorder="1" applyAlignment="1">
      <alignment horizontal="right" vertical="center" wrapText="1"/>
    </xf>
    <xf numFmtId="174" fontId="72" fillId="29" borderId="3" xfId="0" applyNumberFormat="1" applyFont="1" applyFill="1" applyBorder="1" applyAlignment="1">
      <alignment horizontal="right" vertical="center"/>
    </xf>
    <xf numFmtId="0" fontId="74" fillId="29" borderId="3" xfId="0" applyFont="1" applyFill="1" applyBorder="1" applyAlignment="1">
      <alignment horizontal="left" vertical="center"/>
    </xf>
    <xf numFmtId="174" fontId="74" fillId="29" borderId="3" xfId="0" applyNumberFormat="1" applyFont="1" applyFill="1" applyBorder="1" applyAlignment="1">
      <alignment horizontal="right" vertical="center" wrapText="1"/>
    </xf>
    <xf numFmtId="0" fontId="69" fillId="29" borderId="3" xfId="0" applyFont="1" applyFill="1" applyBorder="1" applyAlignment="1">
      <alignment vertical="center" wrapText="1"/>
    </xf>
    <xf numFmtId="0" fontId="67" fillId="29" borderId="3" xfId="0" applyFont="1" applyFill="1" applyBorder="1" applyAlignment="1">
      <alignment vertical="center" wrapText="1"/>
    </xf>
    <xf numFmtId="0" fontId="67" fillId="29" borderId="3" xfId="0" quotePrefix="1" applyFont="1" applyFill="1" applyBorder="1" applyAlignment="1">
      <alignment horizontal="center" vertical="center"/>
    </xf>
    <xf numFmtId="174" fontId="67" fillId="29" borderId="3" xfId="0" applyNumberFormat="1" applyFont="1" applyFill="1" applyBorder="1" applyAlignment="1">
      <alignment horizontal="right" vertical="center" wrapText="1"/>
    </xf>
    <xf numFmtId="0" fontId="69" fillId="29" borderId="15" xfId="0" applyNumberFormat="1" applyFont="1" applyFill="1" applyBorder="1" applyAlignment="1">
      <alignment vertical="center" wrapText="1" shrinkToFit="1"/>
    </xf>
    <xf numFmtId="174" fontId="69" fillId="29" borderId="3" xfId="0" applyNumberFormat="1" applyFont="1" applyFill="1" applyBorder="1" applyAlignment="1">
      <alignment horizontal="right" vertical="center" wrapText="1" shrinkToFit="1"/>
    </xf>
    <xf numFmtId="174" fontId="67" fillId="29" borderId="3" xfId="0" applyNumberFormat="1" applyFont="1" applyFill="1" applyBorder="1" applyAlignment="1">
      <alignment horizontal="right" vertical="center"/>
    </xf>
    <xf numFmtId="0" fontId="10" fillId="29" borderId="0" xfId="0" applyFont="1" applyFill="1" applyBorder="1"/>
    <xf numFmtId="0" fontId="114" fillId="29" borderId="15" xfId="0" applyFont="1" applyFill="1" applyBorder="1" applyAlignment="1" applyProtection="1">
      <alignment horizontal="left" vertical="center" wrapText="1"/>
      <protection locked="0"/>
    </xf>
    <xf numFmtId="0" fontId="114" fillId="29" borderId="14" xfId="0" applyFont="1" applyFill="1" applyBorder="1" applyAlignment="1" applyProtection="1">
      <alignment horizontal="left" vertical="center" wrapText="1"/>
      <protection locked="0"/>
    </xf>
    <xf numFmtId="0" fontId="114" fillId="29" borderId="16" xfId="0" applyFont="1" applyFill="1" applyBorder="1" applyAlignment="1" applyProtection="1">
      <alignment horizontal="left" vertical="center" wrapText="1"/>
      <protection locked="0"/>
    </xf>
    <xf numFmtId="179" fontId="114" fillId="29" borderId="15" xfId="0" applyNumberFormat="1" applyFont="1" applyFill="1" applyBorder="1" applyAlignment="1">
      <alignment horizontal="center" vertical="center" wrapText="1"/>
    </xf>
    <xf numFmtId="179" fontId="114" fillId="29" borderId="14" xfId="0" applyNumberFormat="1" applyFont="1" applyFill="1" applyBorder="1" applyAlignment="1">
      <alignment horizontal="center" vertical="center" wrapText="1"/>
    </xf>
    <xf numFmtId="179" fontId="114" fillId="29" borderId="16" xfId="0" applyNumberFormat="1" applyFont="1" applyFill="1" applyBorder="1" applyAlignment="1">
      <alignment horizontal="center" vertical="center" wrapText="1"/>
    </xf>
    <xf numFmtId="0" fontId="115" fillId="29" borderId="0" xfId="0" applyFont="1" applyFill="1" applyAlignment="1">
      <alignment vertical="center"/>
    </xf>
    <xf numFmtId="49" fontId="115" fillId="29" borderId="3" xfId="0" applyNumberFormat="1" applyFont="1" applyFill="1" applyBorder="1" applyAlignment="1">
      <alignment horizontal="left" vertical="center" wrapText="1"/>
    </xf>
    <xf numFmtId="3" fontId="115" fillId="29" borderId="15" xfId="0" applyNumberFormat="1" applyFont="1" applyFill="1" applyBorder="1" applyAlignment="1">
      <alignment horizontal="right" vertical="center" wrapText="1"/>
    </xf>
    <xf numFmtId="3" fontId="115" fillId="29" borderId="16" xfId="0" applyNumberFormat="1" applyFont="1" applyFill="1" applyBorder="1" applyAlignment="1">
      <alignment horizontal="right" vertical="center" wrapText="1"/>
    </xf>
    <xf numFmtId="183" fontId="115" fillId="29" borderId="15" xfId="353" applyNumberFormat="1" applyFont="1" applyFill="1" applyBorder="1" applyAlignment="1">
      <alignment horizontal="right" vertical="center" wrapText="1"/>
    </xf>
    <xf numFmtId="183" fontId="115" fillId="29" borderId="16" xfId="353" applyNumberFormat="1" applyFont="1" applyFill="1" applyBorder="1" applyAlignment="1">
      <alignment horizontal="right" vertical="center" wrapText="1"/>
    </xf>
    <xf numFmtId="0" fontId="69" fillId="29" borderId="0" xfId="0" applyFont="1" applyFill="1" applyBorder="1" applyAlignment="1"/>
    <xf numFmtId="171" fontId="5" fillId="29" borderId="3" xfId="237" applyNumberFormat="1" applyFont="1" applyFill="1" applyBorder="1" applyAlignment="1">
      <alignment horizontal="right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115" fillId="29" borderId="3" xfId="0" applyFont="1" applyFill="1" applyBorder="1" applyAlignment="1">
      <alignment horizontal="center" vertical="center" wrapText="1"/>
    </xf>
    <xf numFmtId="0" fontId="115" fillId="29" borderId="3" xfId="0" applyFont="1" applyFill="1" applyBorder="1" applyAlignment="1">
      <alignment horizontal="center" vertical="center" wrapText="1" shrinkToFit="1"/>
    </xf>
    <xf numFmtId="0" fontId="115" fillId="29" borderId="3" xfId="0" applyFont="1" applyFill="1" applyBorder="1" applyAlignment="1">
      <alignment horizontal="center" vertical="center"/>
    </xf>
    <xf numFmtId="0" fontId="116" fillId="29" borderId="3" xfId="0" applyFont="1" applyFill="1" applyBorder="1" applyAlignment="1">
      <alignment horizontal="left" vertical="center" wrapText="1"/>
    </xf>
    <xf numFmtId="0" fontId="116" fillId="29" borderId="3" xfId="0" applyFont="1" applyFill="1" applyBorder="1" applyAlignment="1">
      <alignment horizontal="center" vertical="center" wrapText="1"/>
    </xf>
    <xf numFmtId="174" fontId="116" fillId="29" borderId="3" xfId="0" applyNumberFormat="1" applyFont="1" applyFill="1" applyBorder="1" applyAlignment="1">
      <alignment horizontal="center" vertical="center" wrapText="1"/>
    </xf>
    <xf numFmtId="0" fontId="115" fillId="29" borderId="3" xfId="0" applyFont="1" applyFill="1" applyBorder="1" applyAlignment="1">
      <alignment horizontal="left" vertical="center" wrapText="1"/>
    </xf>
    <xf numFmtId="174" fontId="115" fillId="29" borderId="3" xfId="0" applyNumberFormat="1" applyFont="1" applyFill="1" applyBorder="1" applyAlignment="1">
      <alignment horizontal="center" vertical="center" wrapText="1"/>
    </xf>
    <xf numFmtId="174" fontId="115" fillId="29" borderId="3" xfId="0" applyNumberFormat="1" applyFont="1" applyFill="1" applyBorder="1" applyAlignment="1">
      <alignment vertical="center"/>
    </xf>
    <xf numFmtId="0" fontId="116" fillId="29" borderId="3" xfId="0" quotePrefix="1" applyFont="1" applyFill="1" applyBorder="1" applyAlignment="1">
      <alignment horizontal="center" vertical="center"/>
    </xf>
    <xf numFmtId="0" fontId="115" fillId="29" borderId="15" xfId="0" applyFont="1" applyFill="1" applyBorder="1" applyAlignment="1">
      <alignment horizontal="left" vertical="center" wrapText="1"/>
    </xf>
    <xf numFmtId="0" fontId="115" fillId="29" borderId="3" xfId="0" applyFont="1" applyFill="1" applyBorder="1" applyAlignment="1">
      <alignment vertical="center"/>
    </xf>
    <xf numFmtId="0" fontId="115" fillId="29" borderId="18" xfId="0" applyFont="1" applyFill="1" applyBorder="1" applyAlignment="1">
      <alignment horizontal="left" vertical="center" wrapText="1"/>
    </xf>
    <xf numFmtId="174" fontId="116" fillId="29" borderId="3" xfId="0" applyNumberFormat="1" applyFont="1" applyFill="1" applyBorder="1" applyAlignment="1">
      <alignment vertical="center"/>
    </xf>
    <xf numFmtId="0" fontId="117" fillId="29" borderId="0" xfId="0" applyFont="1" applyFill="1" applyBorder="1" applyAlignment="1">
      <alignment horizontal="center" wrapText="1"/>
    </xf>
    <xf numFmtId="0" fontId="116" fillId="29" borderId="0" xfId="0" quotePrefix="1" applyFont="1" applyFill="1" applyBorder="1" applyAlignment="1">
      <alignment horizontal="center"/>
    </xf>
    <xf numFmtId="171" fontId="116" fillId="29" borderId="0" xfId="0" quotePrefix="1" applyNumberFormat="1" applyFont="1" applyFill="1" applyBorder="1" applyAlignment="1">
      <alignment wrapText="1"/>
    </xf>
    <xf numFmtId="0" fontId="116" fillId="29" borderId="0" xfId="0" applyFont="1" applyFill="1" applyBorder="1" applyAlignment="1"/>
    <xf numFmtId="0" fontId="5" fillId="29" borderId="3" xfId="0" applyFont="1" applyFill="1" applyBorder="1" applyAlignment="1">
      <alignment vertical="center"/>
    </xf>
    <xf numFmtId="0" fontId="5" fillId="29" borderId="3" xfId="0" applyFont="1" applyFill="1" applyBorder="1" applyAlignment="1">
      <alignment vertical="center" wrapText="1"/>
    </xf>
    <xf numFmtId="170" fontId="113" fillId="29" borderId="3" xfId="0" applyNumberFormat="1" applyFont="1" applyFill="1" applyBorder="1" applyAlignment="1">
      <alignment vertical="center" wrapText="1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180" fontId="74" fillId="29" borderId="3" xfId="0" applyNumberFormat="1" applyFont="1" applyFill="1" applyBorder="1" applyAlignment="1">
      <alignment horizontal="center" vertical="center" wrapText="1"/>
    </xf>
    <xf numFmtId="180" fontId="5" fillId="29" borderId="3" xfId="237" applyNumberFormat="1" applyFont="1" applyFill="1" applyBorder="1" applyAlignment="1">
      <alignment vertical="center" wrapText="1"/>
    </xf>
    <xf numFmtId="171" fontId="5" fillId="29" borderId="3" xfId="237" applyNumberFormat="1" applyFont="1" applyFill="1" applyBorder="1" applyAlignment="1">
      <alignment vertical="center" wrapText="1"/>
    </xf>
    <xf numFmtId="0" fontId="98" fillId="29" borderId="3" xfId="0" applyFont="1" applyFill="1" applyBorder="1" applyAlignment="1">
      <alignment horizontal="center" vertical="center" wrapText="1"/>
    </xf>
    <xf numFmtId="0" fontId="106" fillId="29" borderId="3" xfId="0" applyFont="1" applyFill="1" applyBorder="1" applyAlignment="1">
      <alignment horizontal="center" vertical="center" wrapText="1"/>
    </xf>
    <xf numFmtId="3" fontId="100" fillId="29" borderId="3" xfId="0" applyNumberFormat="1" applyFont="1" applyFill="1" applyBorder="1"/>
    <xf numFmtId="181" fontId="0" fillId="29" borderId="0" xfId="0" applyNumberFormat="1" applyFill="1"/>
    <xf numFmtId="174" fontId="69" fillId="29" borderId="15" xfId="0" applyNumberFormat="1" applyFont="1" applyFill="1" applyBorder="1" applyAlignment="1">
      <alignment horizontal="center" vertical="center" wrapText="1"/>
    </xf>
    <xf numFmtId="174" fontId="70" fillId="29" borderId="16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171" fontId="74" fillId="29" borderId="0" xfId="0" applyNumberFormat="1" applyFont="1" applyFill="1" applyBorder="1" applyAlignment="1">
      <alignment horizontal="center" wrapText="1"/>
    </xf>
    <xf numFmtId="171" fontId="74" fillId="29" borderId="0" xfId="0" quotePrefix="1" applyNumberFormat="1" applyFont="1" applyFill="1" applyBorder="1" applyAlignment="1">
      <alignment horizontal="center" wrapText="1"/>
    </xf>
    <xf numFmtId="0" fontId="74" fillId="29" borderId="13" xfId="0" applyFont="1" applyFill="1" applyBorder="1" applyAlignment="1">
      <alignment horizontal="center"/>
    </xf>
    <xf numFmtId="0" fontId="75" fillId="29" borderId="3" xfId="0" applyFont="1" applyFill="1" applyBorder="1" applyAlignment="1">
      <alignment horizontal="center" vertical="center"/>
    </xf>
    <xf numFmtId="0" fontId="75" fillId="29" borderId="19" xfId="0" applyFont="1" applyFill="1" applyBorder="1" applyAlignment="1">
      <alignment horizontal="center" vertical="center"/>
    </xf>
    <xf numFmtId="174" fontId="74" fillId="29" borderId="15" xfId="0" applyNumberFormat="1" applyFont="1" applyFill="1" applyBorder="1" applyAlignment="1">
      <alignment horizontal="center" vertical="center" wrapText="1"/>
    </xf>
    <xf numFmtId="174" fontId="77" fillId="29" borderId="16" xfId="0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left" vertical="center"/>
    </xf>
    <xf numFmtId="0" fontId="69" fillId="29" borderId="0" xfId="0" applyFont="1" applyFill="1" applyAlignment="1">
      <alignment horizontal="center" vertical="center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70" fillId="29" borderId="0" xfId="0" applyFont="1" applyFill="1" applyAlignment="1">
      <alignment vertical="center"/>
    </xf>
    <xf numFmtId="0" fontId="103" fillId="29" borderId="0" xfId="0" applyFont="1" applyFill="1" applyBorder="1" applyAlignment="1">
      <alignment horizontal="left" vertical="center" wrapText="1"/>
    </xf>
    <xf numFmtId="0" fontId="71" fillId="29" borderId="21" xfId="0" applyFont="1" applyFill="1" applyBorder="1" applyAlignment="1">
      <alignment horizontal="left" vertical="center" wrapText="1"/>
    </xf>
    <xf numFmtId="0" fontId="71" fillId="29" borderId="13" xfId="0" applyFont="1" applyFill="1" applyBorder="1" applyAlignment="1">
      <alignment horizontal="left" vertical="center" wrapText="1"/>
    </xf>
    <xf numFmtId="0" fontId="103" fillId="29" borderId="0" xfId="0" applyFont="1" applyFill="1" applyBorder="1" applyAlignment="1">
      <alignment horizontal="left" vertical="center"/>
    </xf>
    <xf numFmtId="0" fontId="75" fillId="29" borderId="0" xfId="0" applyFont="1" applyFill="1" applyBorder="1" applyAlignment="1">
      <alignment horizontal="center" vertical="center"/>
    </xf>
    <xf numFmtId="0" fontId="75" fillId="29" borderId="0" xfId="0" applyFont="1" applyFill="1" applyBorder="1" applyAlignment="1">
      <alignment horizontal="center" vertical="center" wrapText="1"/>
    </xf>
    <xf numFmtId="0" fontId="69" fillId="29" borderId="14" xfId="0" applyFont="1" applyFill="1" applyBorder="1" applyAlignment="1">
      <alignment horizontal="left" vertical="center" wrapText="1"/>
    </xf>
    <xf numFmtId="0" fontId="69" fillId="29" borderId="14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  <xf numFmtId="1" fontId="69" fillId="29" borderId="14" xfId="0" applyNumberFormat="1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 wrapText="1" shrinkToFit="1"/>
    </xf>
    <xf numFmtId="0" fontId="69" fillId="29" borderId="19" xfId="0" applyFont="1" applyFill="1" applyBorder="1" applyAlignment="1">
      <alignment horizontal="center" vertical="center" wrapText="1" shrinkToFi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center" vertical="center" wrapText="1"/>
    </xf>
    <xf numFmtId="0" fontId="75" fillId="29" borderId="15" xfId="0" applyFont="1" applyFill="1" applyBorder="1" applyAlignment="1" applyProtection="1">
      <alignment horizontal="center"/>
      <protection locked="0"/>
    </xf>
    <xf numFmtId="0" fontId="75" fillId="29" borderId="14" xfId="0" applyFont="1" applyFill="1" applyBorder="1" applyAlignment="1" applyProtection="1">
      <alignment horizontal="center"/>
      <protection locked="0"/>
    </xf>
    <xf numFmtId="0" fontId="75" fillId="29" borderId="16" xfId="0" applyFont="1" applyFill="1" applyBorder="1" applyAlignment="1" applyProtection="1">
      <alignment horizontal="center"/>
      <protection locked="0"/>
    </xf>
    <xf numFmtId="0" fontId="69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center" vertical="center" wrapText="1"/>
    </xf>
    <xf numFmtId="0" fontId="75" fillId="29" borderId="3" xfId="237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left" vertical="center" wrapText="1"/>
    </xf>
    <xf numFmtId="0" fontId="69" fillId="29" borderId="13" xfId="0" applyFont="1" applyFill="1" applyBorder="1" applyAlignment="1">
      <alignment horizontal="right" vertical="center" wrapText="1"/>
    </xf>
    <xf numFmtId="0" fontId="70" fillId="29" borderId="13" xfId="0" applyFont="1" applyFill="1" applyBorder="1" applyAlignment="1">
      <alignment horizontal="right" vertical="center" wrapText="1"/>
    </xf>
    <xf numFmtId="0" fontId="69" fillId="29" borderId="13" xfId="0" applyFont="1" applyFill="1" applyBorder="1" applyAlignment="1">
      <alignment horizontal="left" vertical="center"/>
    </xf>
    <xf numFmtId="0" fontId="69" fillId="29" borderId="20" xfId="0" applyFont="1" applyFill="1" applyBorder="1" applyAlignment="1">
      <alignment horizontal="right" vertical="center"/>
    </xf>
    <xf numFmtId="0" fontId="69" fillId="29" borderId="20" xfId="0" applyFont="1" applyFill="1" applyBorder="1" applyAlignment="1">
      <alignment horizontal="left" vertical="center"/>
    </xf>
    <xf numFmtId="0" fontId="5" fillId="29" borderId="0" xfId="0" applyFont="1" applyFill="1" applyBorder="1" applyAlignment="1">
      <alignment horizontal="left" vertical="top"/>
    </xf>
    <xf numFmtId="0" fontId="5" fillId="29" borderId="0" xfId="0" applyFont="1" applyFill="1" applyAlignment="1">
      <alignment horizontal="center" vertical="top"/>
    </xf>
    <xf numFmtId="0" fontId="75" fillId="29" borderId="15" xfId="0" applyFont="1" applyFill="1" applyBorder="1" applyAlignment="1">
      <alignment horizontal="center" vertical="center" wrapText="1"/>
    </xf>
    <xf numFmtId="0" fontId="75" fillId="29" borderId="14" xfId="0" applyFont="1" applyFill="1" applyBorder="1" applyAlignment="1">
      <alignment horizontal="center" vertical="center" wrapText="1"/>
    </xf>
    <xf numFmtId="0" fontId="75" fillId="29" borderId="16" xfId="0" applyFont="1" applyFill="1" applyBorder="1" applyAlignment="1">
      <alignment horizontal="center" vertical="center" wrapText="1"/>
    </xf>
    <xf numFmtId="171" fontId="74" fillId="29" borderId="0" xfId="0" applyNumberFormat="1" applyFont="1" applyFill="1" applyBorder="1" applyAlignment="1">
      <alignment horizontal="left" wrapText="1"/>
    </xf>
    <xf numFmtId="0" fontId="74" fillId="29" borderId="0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horizontal="center" vertical="top"/>
    </xf>
    <xf numFmtId="0" fontId="75" fillId="29" borderId="15" xfId="245" applyFont="1" applyFill="1" applyBorder="1" applyAlignment="1">
      <alignment horizontal="center" vertical="center" wrapText="1"/>
    </xf>
    <xf numFmtId="0" fontId="75" fillId="29" borderId="14" xfId="245" applyFont="1" applyFill="1" applyBorder="1" applyAlignment="1">
      <alignment horizontal="center" vertical="center" wrapText="1"/>
    </xf>
    <xf numFmtId="0" fontId="75" fillId="29" borderId="16" xfId="245" applyFont="1" applyFill="1" applyBorder="1" applyAlignment="1">
      <alignment horizontal="center" vertical="center" wrapText="1"/>
    </xf>
    <xf numFmtId="0" fontId="75" fillId="29" borderId="3" xfId="245" applyFont="1" applyFill="1" applyBorder="1" applyAlignment="1">
      <alignment horizontal="center" vertical="center" wrapText="1"/>
    </xf>
    <xf numFmtId="0" fontId="75" fillId="29" borderId="0" xfId="245" applyFont="1" applyFill="1" applyBorder="1" applyAlignment="1">
      <alignment horizontal="center" vertical="center"/>
    </xf>
    <xf numFmtId="0" fontId="69" fillId="29" borderId="3" xfId="245" applyFont="1" applyFill="1" applyBorder="1" applyAlignment="1">
      <alignment horizontal="center" vertical="center" wrapText="1"/>
    </xf>
    <xf numFmtId="0" fontId="69" fillId="29" borderId="18" xfId="245" applyFont="1" applyFill="1" applyBorder="1" applyAlignment="1">
      <alignment horizontal="center" vertical="center" wrapText="1"/>
    </xf>
    <xf numFmtId="0" fontId="69" fillId="29" borderId="19" xfId="245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/>
    </xf>
    <xf numFmtId="0" fontId="80" fillId="29" borderId="0" xfId="0" applyFont="1" applyFill="1" applyBorder="1" applyAlignment="1">
      <alignment horizontal="center" vertical="top"/>
    </xf>
    <xf numFmtId="0" fontId="80" fillId="29" borderId="0" xfId="0" applyFont="1" applyFill="1" applyAlignment="1">
      <alignment horizontal="center" vertical="top"/>
    </xf>
    <xf numFmtId="0" fontId="69" fillId="29" borderId="18" xfId="0" applyFont="1" applyFill="1" applyBorder="1" applyAlignment="1">
      <alignment horizontal="center" vertical="center"/>
    </xf>
    <xf numFmtId="0" fontId="69" fillId="29" borderId="19" xfId="0" applyFont="1" applyFill="1" applyBorder="1" applyAlignment="1">
      <alignment horizontal="center" vertical="center"/>
    </xf>
    <xf numFmtId="171" fontId="4" fillId="29" borderId="0" xfId="0" applyNumberFormat="1" applyFont="1" applyFill="1" applyBorder="1" applyAlignment="1">
      <alignment horizontal="center" wrapText="1"/>
    </xf>
    <xf numFmtId="0" fontId="74" fillId="0" borderId="13" xfId="0" applyFont="1" applyFill="1" applyBorder="1" applyAlignment="1">
      <alignment horizontal="center"/>
    </xf>
    <xf numFmtId="0" fontId="69" fillId="0" borderId="3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right" vertical="center"/>
    </xf>
    <xf numFmtId="0" fontId="116" fillId="29" borderId="13" xfId="0" applyFont="1" applyFill="1" applyBorder="1" applyAlignment="1">
      <alignment horizontal="center"/>
    </xf>
    <xf numFmtId="0" fontId="116" fillId="29" borderId="0" xfId="0" applyFont="1" applyFill="1" applyBorder="1" applyAlignment="1">
      <alignment horizontal="center" vertical="center" wrapText="1"/>
    </xf>
    <xf numFmtId="0" fontId="115" fillId="29" borderId="18" xfId="0" applyFont="1" applyFill="1" applyBorder="1" applyAlignment="1">
      <alignment horizontal="center" vertical="center"/>
    </xf>
    <xf numFmtId="0" fontId="115" fillId="29" borderId="19" xfId="0" applyFont="1" applyFill="1" applyBorder="1" applyAlignment="1">
      <alignment horizontal="center" vertical="center"/>
    </xf>
    <xf numFmtId="0" fontId="115" fillId="29" borderId="18" xfId="0" applyFont="1" applyFill="1" applyBorder="1" applyAlignment="1">
      <alignment horizontal="center" vertical="center" wrapText="1"/>
    </xf>
    <xf numFmtId="0" fontId="115" fillId="29" borderId="19" xfId="0" applyFont="1" applyFill="1" applyBorder="1" applyAlignment="1">
      <alignment horizontal="center" vertical="center" wrapText="1"/>
    </xf>
    <xf numFmtId="0" fontId="115" fillId="29" borderId="18" xfId="0" applyFont="1" applyFill="1" applyBorder="1" applyAlignment="1">
      <alignment horizontal="center" vertical="center" wrapText="1" shrinkToFit="1"/>
    </xf>
    <xf numFmtId="0" fontId="115" fillId="29" borderId="19" xfId="0" applyFont="1" applyFill="1" applyBorder="1" applyAlignment="1">
      <alignment horizontal="center" vertical="center" wrapText="1" shrinkToFit="1"/>
    </xf>
    <xf numFmtId="0" fontId="115" fillId="29" borderId="3" xfId="0" applyFont="1" applyFill="1" applyBorder="1" applyAlignment="1">
      <alignment horizontal="center" vertical="center" wrapText="1"/>
    </xf>
    <xf numFmtId="0" fontId="5" fillId="29" borderId="13" xfId="0" applyFont="1" applyFill="1" applyBorder="1" applyAlignment="1">
      <alignment horizontal="center" vertical="center"/>
    </xf>
    <xf numFmtId="171" fontId="116" fillId="29" borderId="0" xfId="0" applyNumberFormat="1" applyFont="1" applyFill="1" applyBorder="1" applyAlignment="1">
      <alignment horizontal="center" wrapText="1"/>
    </xf>
    <xf numFmtId="0" fontId="4" fillId="29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1" fontId="5" fillId="29" borderId="0" xfId="0" applyNumberFormat="1" applyFont="1" applyFill="1" applyBorder="1" applyAlignment="1">
      <alignment horizontal="center" vertical="center" wrapText="1"/>
    </xf>
    <xf numFmtId="171" fontId="5" fillId="29" borderId="0" xfId="0" quotePrefix="1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9" xfId="0" applyFont="1" applyFill="1" applyBorder="1" applyAlignment="1">
      <alignment horizontal="center" vertical="center" wrapText="1" shrinkToFit="1"/>
    </xf>
    <xf numFmtId="179" fontId="114" fillId="29" borderId="15" xfId="0" applyNumberFormat="1" applyFont="1" applyFill="1" applyBorder="1" applyAlignment="1">
      <alignment horizontal="center" vertical="center" wrapText="1"/>
    </xf>
    <xf numFmtId="179" fontId="114" fillId="29" borderId="14" xfId="0" applyNumberFormat="1" applyFont="1" applyFill="1" applyBorder="1" applyAlignment="1">
      <alignment horizontal="center" vertical="center" wrapText="1"/>
    </xf>
    <xf numFmtId="179" fontId="114" fillId="29" borderId="16" xfId="0" applyNumberFormat="1" applyFont="1" applyFill="1" applyBorder="1" applyAlignment="1">
      <alignment horizontal="center" vertical="center" wrapText="1"/>
    </xf>
    <xf numFmtId="174" fontId="69" fillId="29" borderId="16" xfId="0" applyNumberFormat="1" applyFont="1" applyFill="1" applyBorder="1" applyAlignment="1">
      <alignment horizontal="center" vertical="center" wrapText="1"/>
    </xf>
    <xf numFmtId="178" fontId="69" fillId="29" borderId="15" xfId="0" applyNumberFormat="1" applyFont="1" applyFill="1" applyBorder="1" applyAlignment="1">
      <alignment horizontal="center" vertical="center" wrapText="1"/>
    </xf>
    <xf numFmtId="178" fontId="69" fillId="29" borderId="16" xfId="0" applyNumberFormat="1" applyFont="1" applyFill="1" applyBorder="1" applyAlignment="1">
      <alignment horizontal="center" vertical="center" wrapText="1"/>
    </xf>
    <xf numFmtId="0" fontId="98" fillId="29" borderId="3" xfId="0" applyFont="1" applyFill="1" applyBorder="1" applyAlignment="1">
      <alignment horizontal="left" vertical="center" wrapText="1"/>
    </xf>
    <xf numFmtId="0" fontId="98" fillId="29" borderId="3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98" fillId="29" borderId="3" xfId="0" applyFont="1" applyFill="1" applyBorder="1" applyAlignment="1">
      <alignment horizontal="center" vertical="center"/>
    </xf>
    <xf numFmtId="3" fontId="74" fillId="29" borderId="3" xfId="0" applyNumberFormat="1" applyFont="1" applyFill="1" applyBorder="1" applyAlignment="1">
      <alignment horizontal="center" vertical="center" wrapText="1"/>
    </xf>
    <xf numFmtId="0" fontId="98" fillId="29" borderId="15" xfId="0" applyFont="1" applyFill="1" applyBorder="1" applyAlignment="1">
      <alignment horizontal="center" vertical="center" wrapText="1"/>
    </xf>
    <xf numFmtId="0" fontId="98" fillId="29" borderId="16" xfId="0" applyFont="1" applyFill="1" applyBorder="1" applyAlignment="1">
      <alignment horizontal="center" vertical="center" wrapText="1"/>
    </xf>
    <xf numFmtId="171" fontId="115" fillId="29" borderId="15" xfId="0" applyNumberFormat="1" applyFont="1" applyFill="1" applyBorder="1" applyAlignment="1">
      <alignment horizontal="center" vertical="center" wrapText="1"/>
    </xf>
    <xf numFmtId="171" fontId="115" fillId="29" borderId="16" xfId="0" applyNumberFormat="1" applyFont="1" applyFill="1" applyBorder="1" applyAlignment="1">
      <alignment horizontal="center" vertical="center" wrapText="1"/>
    </xf>
    <xf numFmtId="49" fontId="115" fillId="29" borderId="15" xfId="0" applyNumberFormat="1" applyFont="1" applyFill="1" applyBorder="1" applyAlignment="1">
      <alignment horizontal="center" vertical="center" wrapText="1"/>
    </xf>
    <xf numFmtId="49" fontId="115" fillId="29" borderId="14" xfId="0" applyNumberFormat="1" applyFont="1" applyFill="1" applyBorder="1" applyAlignment="1">
      <alignment horizontal="center" vertical="center" wrapText="1"/>
    </xf>
    <xf numFmtId="49" fontId="115" fillId="29" borderId="16" xfId="0" applyNumberFormat="1" applyFont="1" applyFill="1" applyBorder="1" applyAlignment="1">
      <alignment horizontal="center" vertical="center" wrapText="1"/>
    </xf>
    <xf numFmtId="183" fontId="115" fillId="29" borderId="15" xfId="353" applyNumberFormat="1" applyFont="1" applyFill="1" applyBorder="1" applyAlignment="1">
      <alignment horizontal="right" vertical="center" wrapText="1"/>
    </xf>
    <xf numFmtId="183" fontId="115" fillId="29" borderId="16" xfId="353" applyNumberFormat="1" applyFont="1" applyFill="1" applyBorder="1" applyAlignment="1">
      <alignment horizontal="right" vertical="center" wrapText="1"/>
    </xf>
    <xf numFmtId="0" fontId="114" fillId="29" borderId="15" xfId="0" applyFont="1" applyFill="1" applyBorder="1" applyAlignment="1" applyProtection="1">
      <alignment horizontal="left" vertical="center" wrapText="1"/>
      <protection locked="0"/>
    </xf>
    <xf numFmtId="0" fontId="114" fillId="29" borderId="14" xfId="0" applyFont="1" applyFill="1" applyBorder="1" applyAlignment="1" applyProtection="1">
      <alignment horizontal="left" vertical="center" wrapText="1"/>
      <protection locked="0"/>
    </xf>
    <xf numFmtId="0" fontId="114" fillId="29" borderId="16" xfId="0" applyFont="1" applyFill="1" applyBorder="1" applyAlignment="1" applyProtection="1">
      <alignment horizontal="left" vertical="center" wrapText="1"/>
      <protection locked="0"/>
    </xf>
    <xf numFmtId="0" fontId="99" fillId="29" borderId="15" xfId="0" applyFont="1" applyFill="1" applyBorder="1" applyAlignment="1">
      <alignment horizontal="left" vertical="center" wrapText="1"/>
    </xf>
    <xf numFmtId="0" fontId="99" fillId="29" borderId="14" xfId="0" applyFont="1" applyFill="1" applyBorder="1" applyAlignment="1">
      <alignment horizontal="left" vertical="center" wrapText="1"/>
    </xf>
    <xf numFmtId="0" fontId="99" fillId="29" borderId="16" xfId="0" applyFont="1" applyFill="1" applyBorder="1" applyAlignment="1">
      <alignment horizontal="left" vertical="center" wrapText="1"/>
    </xf>
    <xf numFmtId="179" fontId="99" fillId="29" borderId="3" xfId="0" applyNumberFormat="1" applyFont="1" applyFill="1" applyBorder="1" applyAlignment="1">
      <alignment horizontal="center" vertical="center" wrapText="1"/>
    </xf>
    <xf numFmtId="0" fontId="98" fillId="29" borderId="15" xfId="0" applyFont="1" applyFill="1" applyBorder="1" applyAlignment="1">
      <alignment horizontal="left" vertical="center" wrapText="1"/>
    </xf>
    <xf numFmtId="0" fontId="98" fillId="29" borderId="14" xfId="0" applyFont="1" applyFill="1" applyBorder="1" applyAlignment="1">
      <alignment horizontal="left" vertical="center" wrapText="1"/>
    </xf>
    <xf numFmtId="0" fontId="98" fillId="29" borderId="16" xfId="0" applyFont="1" applyFill="1" applyBorder="1" applyAlignment="1">
      <alignment horizontal="left" vertical="center" wrapText="1"/>
    </xf>
    <xf numFmtId="179" fontId="98" fillId="29" borderId="3" xfId="0" applyNumberFormat="1" applyFont="1" applyFill="1" applyBorder="1" applyAlignment="1">
      <alignment horizontal="center" vertical="center" wrapText="1"/>
    </xf>
    <xf numFmtId="3" fontId="115" fillId="29" borderId="15" xfId="0" applyNumberFormat="1" applyFont="1" applyFill="1" applyBorder="1" applyAlignment="1">
      <alignment horizontal="center" vertical="center" wrapText="1"/>
    </xf>
    <xf numFmtId="3" fontId="115" fillId="29" borderId="14" xfId="0" applyNumberFormat="1" applyFont="1" applyFill="1" applyBorder="1" applyAlignment="1">
      <alignment horizontal="center" vertical="center" wrapText="1"/>
    </xf>
    <xf numFmtId="3" fontId="115" fillId="29" borderId="16" xfId="0" applyNumberFormat="1" applyFont="1" applyFill="1" applyBorder="1" applyAlignment="1">
      <alignment horizontal="center" vertical="center" wrapText="1"/>
    </xf>
    <xf numFmtId="3" fontId="115" fillId="29" borderId="15" xfId="0" applyNumberFormat="1" applyFont="1" applyFill="1" applyBorder="1" applyAlignment="1">
      <alignment horizontal="right" vertical="center" wrapText="1"/>
    </xf>
    <xf numFmtId="3" fontId="115" fillId="29" borderId="16" xfId="0" applyNumberFormat="1" applyFont="1" applyFill="1" applyBorder="1" applyAlignment="1">
      <alignment horizontal="right" vertical="center" wrapText="1"/>
    </xf>
    <xf numFmtId="179" fontId="98" fillId="29" borderId="15" xfId="0" applyNumberFormat="1" applyFont="1" applyFill="1" applyBorder="1" applyAlignment="1">
      <alignment horizontal="center" vertical="center" wrapText="1"/>
    </xf>
    <xf numFmtId="179" fontId="98" fillId="29" borderId="14" xfId="0" applyNumberFormat="1" applyFont="1" applyFill="1" applyBorder="1" applyAlignment="1">
      <alignment horizontal="center" vertical="center" wrapText="1"/>
    </xf>
    <xf numFmtId="179" fontId="98" fillId="29" borderId="16" xfId="0" applyNumberFormat="1" applyFont="1" applyFill="1" applyBorder="1" applyAlignment="1">
      <alignment horizontal="center" vertical="center" wrapText="1"/>
    </xf>
    <xf numFmtId="3" fontId="69" fillId="29" borderId="3" xfId="0" applyNumberFormat="1" applyFont="1" applyFill="1" applyBorder="1" applyAlignment="1">
      <alignment horizontal="center" vertical="center"/>
    </xf>
    <xf numFmtId="0" fontId="98" fillId="29" borderId="14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/>
    </xf>
    <xf numFmtId="0" fontId="69" fillId="29" borderId="14" xfId="0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center" vertical="center"/>
    </xf>
    <xf numFmtId="0" fontId="69" fillId="29" borderId="15" xfId="0" applyFont="1" applyFill="1" applyBorder="1" applyAlignment="1">
      <alignment horizontal="left" vertical="center" wrapText="1"/>
    </xf>
    <xf numFmtId="0" fontId="69" fillId="29" borderId="16" xfId="0" applyFont="1" applyFill="1" applyBorder="1" applyAlignment="1">
      <alignment horizontal="left" vertical="center" wrapText="1"/>
    </xf>
    <xf numFmtId="178" fontId="74" fillId="29" borderId="15" xfId="0" applyNumberFormat="1" applyFont="1" applyFill="1" applyBorder="1" applyAlignment="1">
      <alignment horizontal="center" vertical="center" wrapText="1"/>
    </xf>
    <xf numFmtId="178" fontId="74" fillId="29" borderId="16" xfId="0" applyNumberFormat="1" applyFont="1" applyFill="1" applyBorder="1" applyAlignment="1">
      <alignment horizontal="center" vertical="center" wrapText="1"/>
    </xf>
    <xf numFmtId="174" fontId="74" fillId="29" borderId="16" xfId="0" applyNumberFormat="1" applyFont="1" applyFill="1" applyBorder="1" applyAlignment="1">
      <alignment horizontal="center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4" xfId="0" applyFont="1" applyFill="1" applyBorder="1" applyAlignment="1">
      <alignment horizontal="left" vertical="center" wrapText="1"/>
    </xf>
    <xf numFmtId="0" fontId="74" fillId="29" borderId="16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justify" vertical="center" wrapText="1" shrinkToFit="1"/>
    </xf>
    <xf numFmtId="0" fontId="74" fillId="29" borderId="0" xfId="0" applyFont="1" applyFill="1" applyAlignment="1">
      <alignment horizontal="center" vertical="center"/>
    </xf>
    <xf numFmtId="0" fontId="76" fillId="29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vertical="center" wrapText="1"/>
    </xf>
    <xf numFmtId="0" fontId="74" fillId="29" borderId="0" xfId="0" applyFont="1" applyFill="1" applyBorder="1" applyAlignment="1">
      <alignment horizontal="left" vertical="center" wrapText="1"/>
    </xf>
    <xf numFmtId="49" fontId="114" fillId="29" borderId="3" xfId="0" applyNumberFormat="1" applyFont="1" applyFill="1" applyBorder="1" applyAlignment="1">
      <alignment horizontal="center" vertical="center" wrapText="1"/>
    </xf>
    <xf numFmtId="3" fontId="115" fillId="29" borderId="3" xfId="0" applyNumberFormat="1" applyFont="1" applyFill="1" applyBorder="1" applyAlignment="1">
      <alignment horizontal="center" vertical="center" wrapText="1"/>
    </xf>
    <xf numFmtId="179" fontId="115" fillId="29" borderId="15" xfId="0" applyNumberFormat="1" applyFont="1" applyFill="1" applyBorder="1" applyAlignment="1">
      <alignment horizontal="center" vertical="center" wrapText="1"/>
    </xf>
    <xf numFmtId="179" fontId="115" fillId="29" borderId="16" xfId="0" applyNumberFormat="1" applyFont="1" applyFill="1" applyBorder="1" applyAlignment="1">
      <alignment horizontal="center" vertical="center" wrapText="1"/>
    </xf>
    <xf numFmtId="171" fontId="115" fillId="29" borderId="3" xfId="0" applyNumberFormat="1" applyFont="1" applyFill="1" applyBorder="1" applyAlignment="1">
      <alignment horizontal="center" vertical="center" wrapText="1"/>
    </xf>
    <xf numFmtId="0" fontId="69" fillId="29" borderId="22" xfId="0" applyFont="1" applyFill="1" applyBorder="1" applyAlignment="1">
      <alignment horizontal="center" vertical="center" wrapText="1"/>
    </xf>
    <xf numFmtId="0" fontId="69" fillId="29" borderId="20" xfId="0" applyFont="1" applyFill="1" applyBorder="1" applyAlignment="1">
      <alignment horizontal="center" vertical="center" wrapText="1"/>
    </xf>
    <xf numFmtId="0" fontId="69" fillId="29" borderId="17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horizontal="center" vertical="center" wrapText="1"/>
    </xf>
    <xf numFmtId="0" fontId="69" fillId="29" borderId="13" xfId="0" applyFont="1" applyFill="1" applyBorder="1" applyAlignment="1">
      <alignment horizontal="center" vertical="center" wrapText="1"/>
    </xf>
    <xf numFmtId="0" fontId="69" fillId="29" borderId="25" xfId="0" applyFont="1" applyFill="1" applyBorder="1" applyAlignment="1">
      <alignment horizontal="center" vertical="center" wrapText="1"/>
    </xf>
    <xf numFmtId="49" fontId="69" fillId="29" borderId="22" xfId="0" applyNumberFormat="1" applyFont="1" applyFill="1" applyBorder="1" applyAlignment="1">
      <alignment horizontal="center" vertical="center" wrapText="1"/>
    </xf>
    <xf numFmtId="49" fontId="69" fillId="29" borderId="20" xfId="0" applyNumberFormat="1" applyFont="1" applyFill="1" applyBorder="1" applyAlignment="1">
      <alignment horizontal="center" vertical="center" wrapText="1"/>
    </xf>
    <xf numFmtId="49" fontId="69" fillId="29" borderId="17" xfId="0" applyNumberFormat="1" applyFont="1" applyFill="1" applyBorder="1" applyAlignment="1">
      <alignment horizontal="center" vertical="center" wrapText="1"/>
    </xf>
    <xf numFmtId="49" fontId="69" fillId="29" borderId="23" xfId="0" applyNumberFormat="1" applyFont="1" applyFill="1" applyBorder="1" applyAlignment="1">
      <alignment horizontal="center" vertical="center" wrapText="1"/>
    </xf>
    <xf numFmtId="49" fontId="69" fillId="29" borderId="0" xfId="0" applyNumberFormat="1" applyFont="1" applyFill="1" applyBorder="1" applyAlignment="1">
      <alignment horizontal="center" vertical="center" wrapText="1"/>
    </xf>
    <xf numFmtId="49" fontId="69" fillId="29" borderId="24" xfId="0" applyNumberFormat="1" applyFont="1" applyFill="1" applyBorder="1" applyAlignment="1">
      <alignment horizontal="center" vertical="center" wrapText="1"/>
    </xf>
    <xf numFmtId="49" fontId="69" fillId="29" borderId="21" xfId="0" applyNumberFormat="1" applyFont="1" applyFill="1" applyBorder="1" applyAlignment="1">
      <alignment horizontal="center" vertical="center" wrapText="1"/>
    </xf>
    <xf numFmtId="49" fontId="69" fillId="29" borderId="13" xfId="0" applyNumberFormat="1" applyFont="1" applyFill="1" applyBorder="1" applyAlignment="1">
      <alignment horizontal="center" vertical="center" wrapText="1"/>
    </xf>
    <xf numFmtId="49" fontId="69" fillId="29" borderId="25" xfId="0" applyNumberFormat="1" applyFont="1" applyFill="1" applyBorder="1" applyAlignment="1">
      <alignment horizontal="center" vertical="center" wrapText="1"/>
    </xf>
    <xf numFmtId="178" fontId="74" fillId="29" borderId="14" xfId="0" applyNumberFormat="1" applyFont="1" applyFill="1" applyBorder="1" applyAlignment="1">
      <alignment horizontal="center" vertical="center" wrapText="1"/>
    </xf>
    <xf numFmtId="180" fontId="74" fillId="29" borderId="15" xfId="0" applyNumberFormat="1" applyFont="1" applyFill="1" applyBorder="1" applyAlignment="1">
      <alignment horizontal="center" vertical="center" wrapText="1"/>
    </xf>
    <xf numFmtId="180" fontId="74" fillId="29" borderId="14" xfId="0" applyNumberFormat="1" applyFont="1" applyFill="1" applyBorder="1" applyAlignment="1">
      <alignment horizontal="center" vertical="center" wrapText="1"/>
    </xf>
    <xf numFmtId="180" fontId="74" fillId="29" borderId="16" xfId="0" applyNumberFormat="1" applyFont="1" applyFill="1" applyBorder="1" applyAlignment="1">
      <alignment horizontal="center" vertical="center" wrapText="1"/>
    </xf>
    <xf numFmtId="180" fontId="69" fillId="29" borderId="15" xfId="0" applyNumberFormat="1" applyFont="1" applyFill="1" applyBorder="1" applyAlignment="1">
      <alignment horizontal="center" vertical="center" wrapText="1"/>
    </xf>
    <xf numFmtId="180" fontId="69" fillId="29" borderId="14" xfId="0" applyNumberFormat="1" applyFont="1" applyFill="1" applyBorder="1" applyAlignment="1">
      <alignment horizontal="center" vertical="center" wrapText="1"/>
    </xf>
    <xf numFmtId="180" fontId="69" fillId="29" borderId="16" xfId="0" applyNumberFormat="1" applyFont="1" applyFill="1" applyBorder="1" applyAlignment="1">
      <alignment horizontal="center" vertical="center" wrapText="1"/>
    </xf>
    <xf numFmtId="178" fontId="69" fillId="29" borderId="14" xfId="0" applyNumberFormat="1" applyFont="1" applyFill="1" applyBorder="1" applyAlignment="1">
      <alignment horizontal="center" vertical="center" wrapText="1"/>
    </xf>
    <xf numFmtId="180" fontId="69" fillId="29" borderId="15" xfId="0" applyNumberFormat="1" applyFont="1" applyFill="1" applyBorder="1" applyAlignment="1">
      <alignment horizontal="right" wrapText="1"/>
    </xf>
    <xf numFmtId="180" fontId="69" fillId="29" borderId="14" xfId="0" applyNumberFormat="1" applyFont="1" applyFill="1" applyBorder="1" applyAlignment="1">
      <alignment horizontal="right" wrapText="1"/>
    </xf>
    <xf numFmtId="180" fontId="69" fillId="29" borderId="16" xfId="0" applyNumberFormat="1" applyFont="1" applyFill="1" applyBorder="1" applyAlignment="1">
      <alignment horizontal="right" wrapText="1"/>
    </xf>
    <xf numFmtId="179" fontId="69" fillId="29" borderId="15" xfId="0" applyNumberFormat="1" applyFont="1" applyFill="1" applyBorder="1" applyAlignment="1">
      <alignment horizontal="center" vertical="center" wrapText="1"/>
    </xf>
    <xf numFmtId="179" fontId="69" fillId="29" borderId="14" xfId="0" applyNumberFormat="1" applyFont="1" applyFill="1" applyBorder="1" applyAlignment="1">
      <alignment horizontal="center" vertical="center" wrapText="1"/>
    </xf>
    <xf numFmtId="179" fontId="69" fillId="29" borderId="16" xfId="0" applyNumberFormat="1" applyFont="1" applyFill="1" applyBorder="1" applyAlignment="1">
      <alignment horizontal="center" vertical="center" wrapText="1"/>
    </xf>
    <xf numFmtId="0" fontId="69" fillId="29" borderId="23" xfId="0" applyFont="1" applyFill="1" applyBorder="1" applyAlignment="1">
      <alignment horizontal="center" vertical="center" wrapText="1"/>
    </xf>
    <xf numFmtId="0" fontId="69" fillId="29" borderId="21" xfId="0" applyFont="1" applyFill="1" applyBorder="1" applyAlignment="1">
      <alignment horizontal="center" vertical="center" wrapText="1"/>
    </xf>
    <xf numFmtId="0" fontId="74" fillId="29" borderId="15" xfId="0" applyFont="1" applyFill="1" applyBorder="1" applyAlignment="1">
      <alignment horizontal="center" vertical="center" wrapText="1"/>
    </xf>
    <xf numFmtId="0" fontId="74" fillId="29" borderId="14" xfId="0" applyFont="1" applyFill="1" applyBorder="1" applyAlignment="1">
      <alignment horizontal="center" vertical="center" wrapText="1"/>
    </xf>
    <xf numFmtId="0" fontId="74" fillId="29" borderId="16" xfId="0" applyFont="1" applyFill="1" applyBorder="1" applyAlignment="1">
      <alignment horizontal="center" vertical="center" wrapText="1"/>
    </xf>
    <xf numFmtId="179" fontId="74" fillId="29" borderId="15" xfId="0" applyNumberFormat="1" applyFont="1" applyFill="1" applyBorder="1" applyAlignment="1">
      <alignment horizontal="center" vertical="center" wrapText="1"/>
    </xf>
    <xf numFmtId="179" fontId="74" fillId="29" borderId="14" xfId="0" applyNumberFormat="1" applyFont="1" applyFill="1" applyBorder="1" applyAlignment="1">
      <alignment horizontal="center" vertical="center" wrapText="1"/>
    </xf>
    <xf numFmtId="179" fontId="74" fillId="29" borderId="16" xfId="0" applyNumberFormat="1" applyFont="1" applyFill="1" applyBorder="1" applyAlignment="1">
      <alignment horizontal="center" vertical="center" wrapText="1"/>
    </xf>
    <xf numFmtId="180" fontId="69" fillId="29" borderId="3" xfId="0" applyNumberFormat="1" applyFont="1" applyFill="1" applyBorder="1" applyAlignment="1">
      <alignment horizontal="center" vertical="center" wrapText="1"/>
    </xf>
    <xf numFmtId="49" fontId="69" fillId="29" borderId="3" xfId="0" applyNumberFormat="1" applyFont="1" applyFill="1" applyBorder="1" applyAlignment="1">
      <alignment horizontal="center" vertical="center" wrapText="1"/>
    </xf>
    <xf numFmtId="49" fontId="69" fillId="29" borderId="3" xfId="0" applyNumberFormat="1" applyFont="1" applyFill="1" applyBorder="1" applyAlignment="1">
      <alignment horizontal="left" vertical="center" wrapText="1"/>
    </xf>
    <xf numFmtId="180" fontId="74" fillId="29" borderId="3" xfId="0" applyNumberFormat="1" applyFont="1" applyFill="1" applyBorder="1" applyAlignment="1">
      <alignment horizontal="center" vertical="center" wrapText="1"/>
    </xf>
    <xf numFmtId="0" fontId="69" fillId="29" borderId="50" xfId="0" applyFont="1" applyFill="1" applyBorder="1" applyAlignment="1">
      <alignment horizontal="center" vertical="center" wrapText="1" shrinkToFit="1"/>
    </xf>
    <xf numFmtId="3" fontId="74" fillId="29" borderId="15" xfId="0" applyNumberFormat="1" applyFont="1" applyFill="1" applyBorder="1" applyAlignment="1">
      <alignment horizontal="left" vertical="center" wrapText="1"/>
    </xf>
    <xf numFmtId="3" fontId="74" fillId="29" borderId="14" xfId="0" applyNumberFormat="1" applyFont="1" applyFill="1" applyBorder="1" applyAlignment="1">
      <alignment horizontal="left" vertical="center" wrapText="1"/>
    </xf>
    <xf numFmtId="3" fontId="74" fillId="29" borderId="16" xfId="0" applyNumberFormat="1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3" fontId="69" fillId="29" borderId="15" xfId="0" applyNumberFormat="1" applyFont="1" applyFill="1" applyBorder="1" applyAlignment="1">
      <alignment horizontal="center" vertical="center" wrapText="1" shrinkToFit="1"/>
    </xf>
    <xf numFmtId="3" fontId="69" fillId="29" borderId="16" xfId="0" applyNumberFormat="1" applyFont="1" applyFill="1" applyBorder="1" applyAlignment="1">
      <alignment horizontal="center" vertical="center" wrapText="1" shrinkToFit="1"/>
    </xf>
    <xf numFmtId="0" fontId="74" fillId="29" borderId="15" xfId="0" applyFont="1" applyFill="1" applyBorder="1" applyAlignment="1">
      <alignment horizontal="center" vertical="center" wrapText="1" shrinkToFit="1"/>
    </xf>
    <xf numFmtId="0" fontId="74" fillId="29" borderId="16" xfId="0" applyFont="1" applyFill="1" applyBorder="1" applyAlignment="1">
      <alignment horizontal="center" vertical="center" wrapText="1" shrinkToFit="1"/>
    </xf>
    <xf numFmtId="49" fontId="69" fillId="29" borderId="15" xfId="0" applyNumberFormat="1" applyFont="1" applyFill="1" applyBorder="1" applyAlignment="1">
      <alignment horizontal="left" vertical="center" wrapText="1"/>
    </xf>
    <xf numFmtId="49" fontId="69" fillId="29" borderId="14" xfId="0" applyNumberFormat="1" applyFont="1" applyFill="1" applyBorder="1" applyAlignment="1">
      <alignment horizontal="left" vertical="center" wrapText="1"/>
    </xf>
    <xf numFmtId="49" fontId="69" fillId="29" borderId="16" xfId="0" applyNumberFormat="1" applyFont="1" applyFill="1" applyBorder="1" applyAlignment="1">
      <alignment horizontal="left" vertical="center" wrapText="1"/>
    </xf>
    <xf numFmtId="49" fontId="7" fillId="29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9" borderId="3" xfId="0" applyNumberFormat="1" applyFont="1" applyFill="1" applyBorder="1" applyAlignment="1" applyProtection="1">
      <alignment horizontal="left" vertical="center" wrapText="1"/>
      <protection locked="0"/>
    </xf>
    <xf numFmtId="0" fontId="67" fillId="29" borderId="15" xfId="0" applyFont="1" applyFill="1" applyBorder="1" applyAlignment="1">
      <alignment horizontal="left" vertical="center" wrapText="1"/>
    </xf>
    <xf numFmtId="0" fontId="67" fillId="29" borderId="14" xfId="0" applyFont="1" applyFill="1" applyBorder="1" applyAlignment="1">
      <alignment horizontal="left" vertical="center" wrapText="1"/>
    </xf>
    <xf numFmtId="0" fontId="67" fillId="29" borderId="16" xfId="0" applyFont="1" applyFill="1" applyBorder="1" applyAlignment="1">
      <alignment horizontal="left" vertical="center" wrapText="1"/>
    </xf>
    <xf numFmtId="0" fontId="74" fillId="29" borderId="0" xfId="0" applyFont="1" applyFill="1" applyAlignment="1">
      <alignment horizontal="right" vertical="center" wrapText="1"/>
    </xf>
    <xf numFmtId="0" fontId="77" fillId="29" borderId="0" xfId="0" applyFont="1" applyFill="1" applyAlignment="1">
      <alignment horizontal="right" vertical="center" wrapText="1"/>
    </xf>
    <xf numFmtId="49" fontId="74" fillId="29" borderId="3" xfId="0" applyNumberFormat="1" applyFont="1" applyFill="1" applyBorder="1" applyAlignment="1">
      <alignment horizontal="left" vertical="center" wrapText="1"/>
    </xf>
    <xf numFmtId="0" fontId="69" fillId="29" borderId="13" xfId="0" applyFont="1" applyFill="1" applyBorder="1" applyAlignment="1">
      <alignment horizontal="left" vertical="center" wrapText="1"/>
    </xf>
    <xf numFmtId="0" fontId="70" fillId="29" borderId="13" xfId="0" applyFont="1" applyFill="1" applyBorder="1" applyAlignment="1">
      <alignment horizontal="left" vertical="center" wrapText="1"/>
    </xf>
    <xf numFmtId="0" fontId="67" fillId="29" borderId="0" xfId="0" applyFont="1" applyFill="1" applyAlignment="1">
      <alignment vertical="center" wrapText="1"/>
    </xf>
    <xf numFmtId="0" fontId="70" fillId="29" borderId="0" xfId="0" applyFont="1" applyFill="1" applyAlignment="1">
      <alignment vertical="center" wrapText="1"/>
    </xf>
    <xf numFmtId="0" fontId="76" fillId="29" borderId="0" xfId="0" applyFont="1" applyFill="1" applyBorder="1" applyAlignment="1">
      <alignment horizontal="center" wrapText="1"/>
    </xf>
    <xf numFmtId="0" fontId="102" fillId="29" borderId="0" xfId="0" applyFont="1" applyFill="1" applyAlignment="1">
      <alignment horizontal="center"/>
    </xf>
    <xf numFmtId="0" fontId="74" fillId="29" borderId="0" xfId="0" applyFont="1" applyFill="1" applyBorder="1" applyAlignment="1">
      <alignment horizontal="center"/>
    </xf>
    <xf numFmtId="49" fontId="74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171" fontId="5" fillId="29" borderId="0" xfId="0" applyNumberFormat="1" applyFont="1" applyFill="1" applyBorder="1" applyAlignment="1">
      <alignment horizontal="center" wrapText="1"/>
    </xf>
    <xf numFmtId="171" fontId="5" fillId="29" borderId="0" xfId="0" quotePrefix="1" applyNumberFormat="1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wrapText="1"/>
    </xf>
    <xf numFmtId="0" fontId="80" fillId="29" borderId="2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171" fontId="80" fillId="29" borderId="0" xfId="0" applyNumberFormat="1" applyFont="1" applyFill="1" applyBorder="1" applyAlignment="1">
      <alignment horizontal="center" wrapText="1"/>
    </xf>
    <xf numFmtId="0" fontId="82" fillId="29" borderId="0" xfId="0" applyFont="1" applyFill="1" applyBorder="1" applyAlignment="1">
      <alignment horizontal="center" wrapText="1"/>
    </xf>
    <xf numFmtId="0" fontId="81" fillId="0" borderId="34" xfId="0" applyFont="1" applyBorder="1" applyAlignment="1">
      <alignment horizontal="center"/>
    </xf>
    <xf numFmtId="0" fontId="94" fillId="0" borderId="27" xfId="0" applyFont="1" applyBorder="1" applyAlignment="1">
      <alignment horizontal="center"/>
    </xf>
    <xf numFmtId="0" fontId="94" fillId="0" borderId="28" xfId="0" applyFont="1" applyBorder="1" applyAlignment="1">
      <alignment horizontal="center"/>
    </xf>
    <xf numFmtId="0" fontId="94" fillId="0" borderId="29" xfId="0" applyFont="1" applyBorder="1" applyAlignment="1">
      <alignment horizontal="center"/>
    </xf>
    <xf numFmtId="0" fontId="94" fillId="0" borderId="27" xfId="0" applyFont="1" applyBorder="1" applyAlignment="1">
      <alignment horizontal="center" wrapText="1"/>
    </xf>
    <xf numFmtId="0" fontId="94" fillId="0" borderId="28" xfId="0" applyFont="1" applyBorder="1" applyAlignment="1">
      <alignment horizontal="center" wrapText="1"/>
    </xf>
    <xf numFmtId="0" fontId="94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4" fontId="95" fillId="0" borderId="27" xfId="0" applyNumberFormat="1" applyFont="1" applyBorder="1" applyAlignment="1">
      <alignment horizontal="center"/>
    </xf>
    <xf numFmtId="14" fontId="95" fillId="0" borderId="28" xfId="0" applyNumberFormat="1" applyFont="1" applyBorder="1" applyAlignment="1">
      <alignment horizontal="center"/>
    </xf>
    <xf numFmtId="14" fontId="95" fillId="0" borderId="29" xfId="0" applyNumberFormat="1" applyFont="1" applyBorder="1" applyAlignment="1">
      <alignment horizontal="center"/>
    </xf>
    <xf numFmtId="9" fontId="94" fillId="0" borderId="27" xfId="0" applyNumberFormat="1" applyFont="1" applyBorder="1" applyAlignment="1">
      <alignment horizontal="center"/>
    </xf>
    <xf numFmtId="9" fontId="94" fillId="0" borderId="28" xfId="0" applyNumberFormat="1" applyFont="1" applyBorder="1" applyAlignment="1">
      <alignment horizontal="center"/>
    </xf>
    <xf numFmtId="9" fontId="94" fillId="0" borderId="29" xfId="0" applyNumberFormat="1" applyFont="1" applyBorder="1" applyAlignment="1">
      <alignment horizontal="center"/>
    </xf>
    <xf numFmtId="0" fontId="106" fillId="29" borderId="0" xfId="0" applyFont="1" applyFill="1" applyAlignment="1">
      <alignment horizontal="center"/>
    </xf>
    <xf numFmtId="0" fontId="106" fillId="29" borderId="0" xfId="0" applyFont="1" applyFill="1" applyBorder="1" applyAlignment="1">
      <alignment horizontal="right"/>
    </xf>
    <xf numFmtId="0" fontId="106" fillId="29" borderId="3" xfId="0" applyFont="1" applyFill="1" applyBorder="1" applyAlignment="1">
      <alignment horizontal="center" vertical="center" wrapText="1"/>
    </xf>
    <xf numFmtId="165" fontId="106" fillId="29" borderId="3" xfId="0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wrapText="1"/>
    </xf>
    <xf numFmtId="0" fontId="104" fillId="29" borderId="0" xfId="0" applyFont="1" applyFill="1" applyAlignment="1">
      <alignment horizontal="right" wrapText="1"/>
    </xf>
    <xf numFmtId="0" fontId="105" fillId="29" borderId="0" xfId="0" applyFont="1" applyFill="1" applyAlignment="1">
      <alignment horizontal="center" wrapText="1"/>
    </xf>
    <xf numFmtId="0" fontId="104" fillId="29" borderId="0" xfId="0" applyFont="1" applyFill="1" applyBorder="1" applyAlignment="1">
      <alignment horizontal="right"/>
    </xf>
    <xf numFmtId="0" fontId="108" fillId="29" borderId="0" xfId="0" applyFont="1" applyFill="1" applyAlignment="1">
      <alignment horizontal="center" wrapText="1"/>
    </xf>
    <xf numFmtId="0" fontId="109" fillId="29" borderId="0" xfId="0" applyFont="1" applyFill="1" applyAlignment="1">
      <alignment horizontal="center"/>
    </xf>
    <xf numFmtId="0" fontId="106" fillId="29" borderId="13" xfId="0" applyFont="1" applyFill="1" applyBorder="1" applyAlignment="1">
      <alignment horizontal="right"/>
    </xf>
    <xf numFmtId="0" fontId="106" fillId="29" borderId="18" xfId="0" applyFont="1" applyFill="1" applyBorder="1" applyAlignment="1">
      <alignment horizontal="center" vertical="center" wrapText="1"/>
    </xf>
    <xf numFmtId="0" fontId="106" fillId="29" borderId="50" xfId="0" applyFont="1" applyFill="1" applyBorder="1" applyAlignment="1">
      <alignment horizontal="center" vertical="center" wrapText="1"/>
    </xf>
    <xf numFmtId="0" fontId="106" fillId="29" borderId="19" xfId="0" applyFont="1" applyFill="1" applyBorder="1" applyAlignment="1">
      <alignment horizontal="center" vertical="center" wrapText="1"/>
    </xf>
    <xf numFmtId="0" fontId="106" fillId="29" borderId="15" xfId="0" applyFont="1" applyFill="1" applyBorder="1" applyAlignment="1">
      <alignment horizontal="center" vertical="center" wrapText="1"/>
    </xf>
    <xf numFmtId="0" fontId="106" fillId="29" borderId="14" xfId="0" applyFont="1" applyFill="1" applyBorder="1" applyAlignment="1">
      <alignment horizontal="center" vertical="center" wrapText="1"/>
    </xf>
    <xf numFmtId="0" fontId="106" fillId="29" borderId="16" xfId="0" applyFont="1" applyFill="1" applyBorder="1" applyAlignment="1">
      <alignment horizontal="center" vertical="center" wrapText="1"/>
    </xf>
    <xf numFmtId="165" fontId="106" fillId="29" borderId="22" xfId="0" applyNumberFormat="1" applyFont="1" applyFill="1" applyBorder="1" applyAlignment="1">
      <alignment horizontal="center" vertical="center" wrapText="1"/>
    </xf>
    <xf numFmtId="165" fontId="106" fillId="29" borderId="17" xfId="0" applyNumberFormat="1" applyFont="1" applyFill="1" applyBorder="1" applyAlignment="1">
      <alignment horizontal="center" vertical="center" wrapText="1"/>
    </xf>
    <xf numFmtId="165" fontId="106" fillId="29" borderId="23" xfId="0" applyNumberFormat="1" applyFont="1" applyFill="1" applyBorder="1" applyAlignment="1">
      <alignment horizontal="center" vertical="center" wrapText="1"/>
    </xf>
    <xf numFmtId="165" fontId="106" fillId="29" borderId="24" xfId="0" applyNumberFormat="1" applyFont="1" applyFill="1" applyBorder="1" applyAlignment="1">
      <alignment horizontal="center" vertical="center" wrapText="1"/>
    </xf>
    <xf numFmtId="165" fontId="106" fillId="29" borderId="21" xfId="0" applyNumberFormat="1" applyFont="1" applyFill="1" applyBorder="1" applyAlignment="1">
      <alignment horizontal="center" vertical="center" wrapText="1"/>
    </xf>
    <xf numFmtId="165" fontId="106" fillId="29" borderId="25" xfId="0" applyNumberFormat="1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OCUME~1\VOYTOV~1\LOCALS~1\Temp\Rar$DI00.867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80;&#1082;&#1086;&#1085;&#1072;&#1085;&#1085;&#1103;%202021%201%20&#1087;&#1110;&#1074;\&#1045;&#1082;&#1086;&#1042;&#1110;&#1085;\Ariadna\Sum_po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NosarivskaTO\Desktop\&#1052;&#1086;&#1080;%20&#1076;&#1086;&#1082;&#1091;&#1084;&#1077;&#1085;&#1090;&#1080;\&#1060;&#1110;&#1085;&#1087;&#1083;&#1072;&#1085;\&#1060;&#1110;&#1085;&#1087;&#1083;&#1072;&#1085;%202022\&#1045;&#1082;&#1086;&#1042;&#1110;&#1085;\&#1060;&#1055;%20&#8470;____%20&#1074;&#1110;&#1076;%20.01.2022\Ariadna\Sum_p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SINKEV~1\LOCALS~1\Temp\Rar$DI00.781\Dept\FinPlan-Economy\Planning%20System%20Project\consolidation%20hq%20format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&#1058;&#1072;&#1085;&#1103;\Desktop\&#1060;&#1055;%20&#1045;&#1082;&#1086;&#1042;&#1110;&#1085;%202022\&#1060;&#1110;&#1085;&#1087;&#1083;&#1072;&#1085;%202022%20(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  <sheetName val="Аналіз"/>
    </sheetNames>
    <sheetDataSet>
      <sheetData sheetId="0" refreshError="1"/>
      <sheetData sheetId="1" refreshError="1">
        <row r="9">
          <cell r="C9">
            <v>-70322</v>
          </cell>
        </row>
        <row r="77">
          <cell r="F7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285"/>
  <sheetViews>
    <sheetView view="pageBreakPreview" topLeftCell="A40" zoomScale="75" zoomScaleNormal="75" zoomScaleSheetLayoutView="75" workbookViewId="0">
      <selection activeCell="O81" sqref="O81"/>
    </sheetView>
  </sheetViews>
  <sheetFormatPr defaultColWidth="9.109375" defaultRowHeight="21"/>
  <cols>
    <col min="1" max="1" width="73.33203125" style="300" customWidth="1"/>
    <col min="2" max="2" width="15.33203125" style="298" customWidth="1"/>
    <col min="3" max="5" width="18" style="298" customWidth="1"/>
    <col min="6" max="6" width="18.44140625" style="300" customWidth="1"/>
    <col min="7" max="9" width="19" style="300" customWidth="1"/>
    <col min="10" max="10" width="18.109375" style="300" hidden="1" customWidth="1"/>
    <col min="11" max="11" width="10" style="300" customWidth="1"/>
    <col min="12" max="12" width="12.88671875" style="300" customWidth="1"/>
    <col min="13" max="14" width="9.109375" style="300" customWidth="1"/>
    <col min="15" max="15" width="10.5546875" style="300" customWidth="1"/>
    <col min="16" max="16384" width="9.109375" style="300"/>
  </cols>
  <sheetData>
    <row r="1" spans="1:10" ht="18.75" customHeight="1">
      <c r="A1" s="531"/>
      <c r="B1" s="532"/>
      <c r="D1" s="300"/>
      <c r="E1" s="300"/>
      <c r="G1" s="528" t="s">
        <v>522</v>
      </c>
      <c r="H1" s="528"/>
      <c r="I1" s="528"/>
      <c r="J1" s="528"/>
    </row>
    <row r="2" spans="1:10">
      <c r="A2" s="532"/>
      <c r="B2" s="532"/>
      <c r="D2" s="300"/>
      <c r="E2" s="300"/>
      <c r="G2" s="528" t="s">
        <v>423</v>
      </c>
      <c r="H2" s="528"/>
      <c r="I2" s="528"/>
      <c r="J2" s="528"/>
    </row>
    <row r="3" spans="1:10" ht="29.25" customHeight="1">
      <c r="A3" s="532"/>
      <c r="B3" s="532"/>
      <c r="D3" s="23"/>
      <c r="E3" s="23"/>
      <c r="F3" s="23"/>
      <c r="G3" s="528" t="s">
        <v>424</v>
      </c>
      <c r="H3" s="528"/>
      <c r="I3" s="528"/>
      <c r="J3" s="528"/>
    </row>
    <row r="4" spans="1:10" ht="18.75" customHeight="1">
      <c r="A4" s="532"/>
      <c r="B4" s="532"/>
      <c r="D4" s="23"/>
      <c r="E4" s="23"/>
      <c r="F4" s="23"/>
      <c r="G4" s="556"/>
      <c r="H4" s="556"/>
      <c r="I4" s="556"/>
      <c r="J4" s="556"/>
    </row>
    <row r="5" spans="1:10" ht="18.75" hidden="1" customHeight="1">
      <c r="A5" s="532"/>
      <c r="B5" s="532"/>
      <c r="D5" s="23"/>
      <c r="E5" s="23"/>
      <c r="F5" s="23"/>
      <c r="G5" s="528"/>
      <c r="H5" s="528"/>
      <c r="I5" s="297"/>
      <c r="J5" s="297"/>
    </row>
    <row r="6" spans="1:10" ht="18.75" customHeight="1">
      <c r="A6" s="532"/>
      <c r="B6" s="532"/>
      <c r="D6" s="23"/>
      <c r="E6" s="23"/>
      <c r="F6" s="23"/>
      <c r="G6" s="297"/>
      <c r="H6" s="297"/>
      <c r="I6" s="297"/>
      <c r="J6" s="297"/>
    </row>
    <row r="7" spans="1:10" ht="18.75" customHeight="1">
      <c r="A7" s="298"/>
      <c r="D7" s="23"/>
      <c r="E7" s="23"/>
      <c r="F7" s="23"/>
      <c r="G7" s="297"/>
      <c r="H7" s="297"/>
      <c r="I7" s="297"/>
      <c r="J7" s="297"/>
    </row>
    <row r="8" spans="1:10" ht="18.75" customHeight="1">
      <c r="D8" s="23"/>
      <c r="E8" s="23"/>
      <c r="F8" s="23"/>
      <c r="G8" s="528"/>
      <c r="H8" s="528"/>
      <c r="I8" s="528"/>
      <c r="J8" s="528"/>
    </row>
    <row r="9" spans="1:10" ht="18.75" customHeight="1">
      <c r="A9" s="300" t="s">
        <v>323</v>
      </c>
      <c r="B9" s="23"/>
      <c r="F9" s="302"/>
      <c r="G9" s="536" t="s">
        <v>98</v>
      </c>
      <c r="H9" s="536"/>
      <c r="I9" s="536"/>
      <c r="J9" s="536"/>
    </row>
    <row r="10" spans="1:10" ht="24" customHeight="1">
      <c r="A10" s="300" t="s">
        <v>492</v>
      </c>
      <c r="B10" s="23"/>
      <c r="C10" s="299"/>
      <c r="D10" s="302"/>
      <c r="E10" s="302"/>
      <c r="F10" s="302"/>
      <c r="G10" s="533"/>
      <c r="H10" s="533"/>
      <c r="I10" s="533"/>
      <c r="J10" s="533"/>
    </row>
    <row r="11" spans="1:10" ht="7.5" customHeight="1">
      <c r="A11" s="534"/>
      <c r="B11" s="535"/>
      <c r="C11" s="26"/>
      <c r="D11" s="26"/>
      <c r="E11" s="26"/>
      <c r="F11" s="27"/>
      <c r="G11" s="383"/>
      <c r="H11" s="383"/>
      <c r="I11" s="383"/>
      <c r="J11" s="383"/>
    </row>
    <row r="12" spans="1:10" ht="20.25" customHeight="1">
      <c r="A12" s="297"/>
      <c r="D12" s="300"/>
      <c r="E12" s="300"/>
      <c r="F12" s="28"/>
      <c r="G12" s="533"/>
      <c r="H12" s="533"/>
      <c r="I12" s="533"/>
      <c r="J12" s="533"/>
    </row>
    <row r="13" spans="1:10" ht="19.5" customHeight="1">
      <c r="A13" s="243"/>
      <c r="B13" s="29" t="s">
        <v>699</v>
      </c>
      <c r="F13" s="23"/>
      <c r="G13" s="383"/>
      <c r="H13" s="383"/>
      <c r="I13" s="383"/>
      <c r="J13" s="383"/>
    </row>
    <row r="14" spans="1:10" ht="19.5" customHeight="1">
      <c r="A14" s="530" t="s">
        <v>291</v>
      </c>
      <c r="B14" s="530"/>
      <c r="F14" s="23"/>
      <c r="G14" s="533"/>
      <c r="H14" s="533"/>
      <c r="I14" s="533"/>
      <c r="J14" s="533"/>
    </row>
    <row r="15" spans="1:10" ht="19.5" customHeight="1">
      <c r="A15" s="529"/>
      <c r="B15" s="529"/>
      <c r="C15" s="299"/>
      <c r="D15" s="23"/>
      <c r="E15" s="23"/>
      <c r="F15" s="23"/>
      <c r="G15" s="533"/>
      <c r="H15" s="533"/>
      <c r="I15" s="533"/>
      <c r="J15" s="533"/>
    </row>
    <row r="16" spans="1:10" ht="16.5" customHeight="1">
      <c r="A16" s="530"/>
      <c r="B16" s="530"/>
      <c r="C16" s="299"/>
      <c r="D16" s="23"/>
      <c r="E16" s="23"/>
      <c r="F16" s="23"/>
      <c r="G16" s="297"/>
      <c r="H16" s="297"/>
      <c r="I16" s="297"/>
      <c r="J16" s="297"/>
    </row>
    <row r="17" spans="1:10" ht="16.5" customHeight="1">
      <c r="A17" s="298"/>
      <c r="C17" s="299"/>
      <c r="D17" s="23"/>
      <c r="E17" s="23"/>
      <c r="F17" s="23"/>
      <c r="G17" s="297"/>
      <c r="H17" s="297"/>
      <c r="I17" s="297"/>
      <c r="J17" s="297"/>
    </row>
    <row r="18" spans="1:10" ht="18.75" customHeight="1">
      <c r="A18" s="528" t="s">
        <v>324</v>
      </c>
      <c r="B18" s="528"/>
      <c r="D18" s="23"/>
      <c r="E18" s="23"/>
      <c r="F18" s="23"/>
      <c r="G18" s="528" t="s">
        <v>324</v>
      </c>
      <c r="H18" s="528"/>
      <c r="I18" s="528"/>
      <c r="J18" s="528"/>
    </row>
    <row r="19" spans="1:10" ht="15.75" customHeight="1">
      <c r="D19" s="23"/>
      <c r="E19" s="23"/>
      <c r="F19" s="23"/>
      <c r="I19" s="298"/>
      <c r="J19" s="298"/>
    </row>
    <row r="20" spans="1:10" ht="27.75" customHeight="1">
      <c r="A20" s="556" t="s">
        <v>523</v>
      </c>
      <c r="B20" s="556"/>
      <c r="C20" s="556"/>
      <c r="E20" s="298" t="s">
        <v>325</v>
      </c>
      <c r="F20" s="302"/>
      <c r="G20" s="559" t="s">
        <v>496</v>
      </c>
      <c r="H20" s="559"/>
      <c r="I20" s="559"/>
      <c r="J20" s="298"/>
    </row>
    <row r="21" spans="1:10">
      <c r="A21" s="561"/>
      <c r="B21" s="561"/>
      <c r="F21" s="28"/>
      <c r="G21" s="123"/>
      <c r="H21" s="123"/>
      <c r="I21" s="123"/>
    </row>
    <row r="22" spans="1:10" ht="21.75" customHeight="1">
      <c r="A22" s="557" t="s">
        <v>700</v>
      </c>
      <c r="B22" s="558"/>
      <c r="F22" s="28"/>
      <c r="G22" s="557" t="s">
        <v>701</v>
      </c>
      <c r="H22" s="557"/>
      <c r="I22" s="557"/>
      <c r="J22" s="557"/>
    </row>
    <row r="23" spans="1:10" ht="22.5" customHeight="1">
      <c r="A23" s="530" t="s">
        <v>291</v>
      </c>
      <c r="B23" s="530"/>
      <c r="F23" s="28"/>
      <c r="G23" s="560" t="s">
        <v>291</v>
      </c>
      <c r="H23" s="560"/>
      <c r="I23" s="560"/>
      <c r="J23" s="560"/>
    </row>
    <row r="24" spans="1:10" ht="15.75" customHeight="1">
      <c r="G24" s="556"/>
      <c r="H24" s="556"/>
      <c r="I24" s="556"/>
      <c r="J24" s="556"/>
    </row>
    <row r="25" spans="1:10">
      <c r="C25" s="31"/>
      <c r="D25" s="32"/>
      <c r="E25" s="32"/>
      <c r="F25" s="28"/>
      <c r="G25" s="556"/>
      <c r="H25" s="556"/>
      <c r="I25" s="556"/>
      <c r="J25" s="556"/>
    </row>
    <row r="26" spans="1:10" ht="18" hidden="1" customHeight="1">
      <c r="B26" s="33"/>
      <c r="C26" s="31"/>
      <c r="D26" s="32"/>
      <c r="E26" s="32"/>
      <c r="F26" s="28"/>
      <c r="G26" s="34"/>
      <c r="H26" s="34"/>
      <c r="I26" s="34"/>
      <c r="J26" s="34"/>
    </row>
    <row r="27" spans="1:10" ht="21" hidden="1" customHeight="1">
      <c r="B27" s="300"/>
      <c r="C27" s="299"/>
      <c r="D27" s="34"/>
      <c r="E27" s="34"/>
      <c r="F27" s="34"/>
    </row>
    <row r="28" spans="1:10" ht="2.25" customHeight="1">
      <c r="B28" s="300"/>
      <c r="C28" s="299"/>
      <c r="D28" s="34"/>
      <c r="E28" s="34"/>
      <c r="F28" s="34"/>
    </row>
    <row r="29" spans="1:10" ht="21" hidden="1" customHeight="1">
      <c r="B29" s="300"/>
      <c r="C29" s="299"/>
      <c r="D29" s="34"/>
      <c r="E29" s="34"/>
      <c r="F29" s="34"/>
      <c r="H29" s="324"/>
      <c r="I29" s="324"/>
      <c r="J29" s="324"/>
    </row>
    <row r="30" spans="1:10">
      <c r="B30" s="299"/>
      <c r="C30" s="299"/>
      <c r="D30" s="299"/>
      <c r="E30" s="299"/>
      <c r="F30" s="299"/>
      <c r="G30" s="298"/>
      <c r="H30" s="298"/>
      <c r="I30" s="298"/>
      <c r="J30" s="298"/>
    </row>
    <row r="31" spans="1:10" ht="25.5" customHeight="1">
      <c r="A31" s="325"/>
      <c r="B31" s="539"/>
      <c r="C31" s="539"/>
      <c r="D31" s="539"/>
      <c r="E31" s="539"/>
      <c r="F31" s="539"/>
      <c r="G31" s="326"/>
      <c r="H31" s="327">
        <v>2023</v>
      </c>
      <c r="I31" s="328" t="s">
        <v>102</v>
      </c>
      <c r="J31" s="303" t="s">
        <v>158</v>
      </c>
    </row>
    <row r="32" spans="1:10" ht="24.75" customHeight="1">
      <c r="A32" s="310" t="s">
        <v>13</v>
      </c>
      <c r="B32" s="539" t="s">
        <v>425</v>
      </c>
      <c r="C32" s="539"/>
      <c r="D32" s="539"/>
      <c r="E32" s="539"/>
      <c r="F32" s="539"/>
      <c r="G32" s="329"/>
      <c r="H32" s="330">
        <v>33810743</v>
      </c>
      <c r="I32" s="331" t="s">
        <v>101</v>
      </c>
      <c r="J32" s="303"/>
    </row>
    <row r="33" spans="1:10" ht="24.75" customHeight="1">
      <c r="A33" s="310" t="s">
        <v>14</v>
      </c>
      <c r="B33" s="539" t="s">
        <v>494</v>
      </c>
      <c r="C33" s="539"/>
      <c r="D33" s="539"/>
      <c r="E33" s="539"/>
      <c r="F33" s="539"/>
      <c r="G33" s="329"/>
      <c r="H33" s="330">
        <v>150</v>
      </c>
      <c r="I33" s="331" t="s">
        <v>100</v>
      </c>
      <c r="J33" s="303"/>
    </row>
    <row r="34" spans="1:10" ht="24.75" customHeight="1">
      <c r="A34" s="310" t="s">
        <v>19</v>
      </c>
      <c r="B34" s="539" t="s">
        <v>426</v>
      </c>
      <c r="C34" s="539"/>
      <c r="D34" s="539"/>
      <c r="E34" s="539"/>
      <c r="F34" s="539"/>
      <c r="G34" s="329"/>
      <c r="H34" s="330">
        <v>510136600</v>
      </c>
      <c r="I34" s="331" t="s">
        <v>99</v>
      </c>
      <c r="J34" s="303"/>
    </row>
    <row r="35" spans="1:10" ht="24.75" customHeight="1">
      <c r="A35" s="310" t="s">
        <v>581</v>
      </c>
      <c r="B35" s="539" t="s">
        <v>493</v>
      </c>
      <c r="C35" s="539"/>
      <c r="D35" s="539"/>
      <c r="E35" s="539"/>
      <c r="F35" s="539"/>
      <c r="G35" s="539"/>
      <c r="H35" s="330"/>
      <c r="I35" s="331" t="s">
        <v>9</v>
      </c>
      <c r="J35" s="303"/>
    </row>
    <row r="36" spans="1:10" ht="24.75" customHeight="1">
      <c r="A36" s="310" t="s">
        <v>16</v>
      </c>
      <c r="B36" s="539" t="s">
        <v>497</v>
      </c>
      <c r="C36" s="539"/>
      <c r="D36" s="539"/>
      <c r="E36" s="539"/>
      <c r="F36" s="539"/>
      <c r="G36" s="329"/>
      <c r="H36" s="330"/>
      <c r="I36" s="331" t="s">
        <v>8</v>
      </c>
      <c r="J36" s="303"/>
    </row>
    <row r="37" spans="1:10" ht="24.75" customHeight="1">
      <c r="A37" s="310" t="s">
        <v>15</v>
      </c>
      <c r="B37" s="539" t="s">
        <v>495</v>
      </c>
      <c r="C37" s="539"/>
      <c r="D37" s="539"/>
      <c r="E37" s="539"/>
      <c r="F37" s="539"/>
      <c r="G37" s="329"/>
      <c r="H37" s="332" t="s">
        <v>429</v>
      </c>
      <c r="I37" s="331" t="s">
        <v>10</v>
      </c>
      <c r="J37" s="303"/>
    </row>
    <row r="38" spans="1:10" ht="24.75" customHeight="1">
      <c r="A38" s="310" t="s">
        <v>609</v>
      </c>
      <c r="B38" s="539" t="s">
        <v>403</v>
      </c>
      <c r="C38" s="539"/>
      <c r="D38" s="539"/>
      <c r="E38" s="539"/>
      <c r="F38" s="539"/>
      <c r="G38" s="540" t="s">
        <v>129</v>
      </c>
      <c r="H38" s="541"/>
      <c r="I38" s="331" t="s">
        <v>30</v>
      </c>
      <c r="J38" s="303"/>
    </row>
    <row r="39" spans="1:10" ht="24.75" customHeight="1">
      <c r="A39" s="310" t="s">
        <v>20</v>
      </c>
      <c r="B39" s="539" t="s">
        <v>427</v>
      </c>
      <c r="C39" s="539"/>
      <c r="D39" s="539"/>
      <c r="E39" s="539"/>
      <c r="F39" s="539"/>
      <c r="G39" s="540" t="s">
        <v>130</v>
      </c>
      <c r="H39" s="541"/>
      <c r="I39" s="331"/>
      <c r="J39" s="303"/>
    </row>
    <row r="40" spans="1:10" ht="24.75" customHeight="1">
      <c r="A40" s="310" t="s">
        <v>85</v>
      </c>
      <c r="B40" s="542">
        <v>214</v>
      </c>
      <c r="C40" s="542"/>
      <c r="D40" s="542"/>
      <c r="E40" s="542"/>
      <c r="F40" s="542"/>
      <c r="G40" s="329"/>
      <c r="H40" s="330"/>
      <c r="I40" s="331"/>
      <c r="J40" s="303"/>
    </row>
    <row r="41" spans="1:10" ht="24.75" customHeight="1">
      <c r="A41" s="310" t="s">
        <v>322</v>
      </c>
      <c r="B41" s="539" t="s">
        <v>671</v>
      </c>
      <c r="C41" s="539"/>
      <c r="D41" s="539"/>
      <c r="E41" s="539"/>
      <c r="F41" s="539"/>
      <c r="G41" s="329"/>
      <c r="H41" s="330"/>
      <c r="I41" s="331"/>
      <c r="J41" s="303"/>
    </row>
    <row r="42" spans="1:10" ht="24.75" customHeight="1">
      <c r="A42" s="310" t="s">
        <v>11</v>
      </c>
      <c r="B42" s="539">
        <v>578855</v>
      </c>
      <c r="C42" s="539"/>
      <c r="D42" s="539"/>
      <c r="E42" s="539"/>
      <c r="F42" s="539"/>
      <c r="G42" s="329"/>
      <c r="H42" s="330"/>
      <c r="I42" s="331"/>
      <c r="J42" s="303"/>
    </row>
    <row r="43" spans="1:10" ht="24.75" customHeight="1">
      <c r="A43" s="310" t="s">
        <v>12</v>
      </c>
      <c r="B43" s="539" t="s">
        <v>428</v>
      </c>
      <c r="C43" s="539"/>
      <c r="D43" s="539"/>
      <c r="E43" s="539"/>
      <c r="F43" s="539"/>
      <c r="G43" s="329"/>
      <c r="H43" s="330"/>
      <c r="I43" s="331"/>
      <c r="J43" s="303"/>
    </row>
    <row r="44" spans="1:10" ht="48" customHeight="1">
      <c r="A44" s="538" t="s">
        <v>672</v>
      </c>
      <c r="B44" s="537"/>
      <c r="C44" s="537"/>
      <c r="D44" s="537"/>
      <c r="E44" s="537"/>
      <c r="F44" s="537"/>
      <c r="G44" s="537"/>
      <c r="H44" s="537"/>
      <c r="I44" s="537"/>
      <c r="J44" s="537"/>
    </row>
    <row r="45" spans="1:10" ht="30" customHeight="1">
      <c r="A45" s="537" t="s">
        <v>137</v>
      </c>
      <c r="B45" s="537"/>
      <c r="C45" s="537"/>
      <c r="D45" s="537"/>
      <c r="E45" s="537"/>
      <c r="F45" s="537"/>
      <c r="G45" s="537"/>
      <c r="H45" s="537"/>
      <c r="I45" s="537"/>
      <c r="J45" s="537"/>
    </row>
    <row r="46" spans="1:10" ht="23.25" customHeight="1">
      <c r="B46" s="302"/>
      <c r="C46" s="299"/>
      <c r="D46" s="302"/>
      <c r="E46" s="302"/>
      <c r="F46" s="302"/>
      <c r="G46" s="302"/>
      <c r="H46" s="302"/>
      <c r="I46" s="333" t="s">
        <v>361</v>
      </c>
      <c r="J46" s="302" t="s">
        <v>330</v>
      </c>
    </row>
    <row r="47" spans="1:10" ht="41.25" customHeight="1">
      <c r="A47" s="553" t="s">
        <v>164</v>
      </c>
      <c r="B47" s="551" t="s">
        <v>17</v>
      </c>
      <c r="C47" s="546" t="s">
        <v>673</v>
      </c>
      <c r="D47" s="546" t="s">
        <v>674</v>
      </c>
      <c r="E47" s="544" t="s">
        <v>675</v>
      </c>
      <c r="F47" s="551" t="s">
        <v>676</v>
      </c>
      <c r="G47" s="543" t="s">
        <v>165</v>
      </c>
      <c r="H47" s="540"/>
      <c r="I47" s="540"/>
      <c r="J47" s="541"/>
    </row>
    <row r="48" spans="1:10" ht="77.25" customHeight="1">
      <c r="A48" s="553"/>
      <c r="B48" s="551"/>
      <c r="C48" s="547"/>
      <c r="D48" s="547"/>
      <c r="E48" s="545"/>
      <c r="F48" s="551"/>
      <c r="G48" s="508" t="s">
        <v>510</v>
      </c>
      <c r="H48" s="508" t="s">
        <v>619</v>
      </c>
      <c r="I48" s="551" t="s">
        <v>698</v>
      </c>
      <c r="J48" s="552"/>
    </row>
    <row r="49" spans="1:10" ht="21.75" customHeight="1">
      <c r="A49" s="509">
        <v>1</v>
      </c>
      <c r="B49" s="508">
        <v>2</v>
      </c>
      <c r="C49" s="508">
        <v>3</v>
      </c>
      <c r="D49" s="508">
        <v>4</v>
      </c>
      <c r="E49" s="508">
        <v>5</v>
      </c>
      <c r="F49" s="508">
        <v>6</v>
      </c>
      <c r="G49" s="508">
        <v>7</v>
      </c>
      <c r="H49" s="508">
        <v>8</v>
      </c>
      <c r="I49" s="551">
        <v>9</v>
      </c>
      <c r="J49" s="552"/>
    </row>
    <row r="50" spans="1:10" ht="28.5" customHeight="1">
      <c r="A50" s="554" t="s">
        <v>79</v>
      </c>
      <c r="B50" s="554"/>
      <c r="C50" s="554"/>
      <c r="D50" s="554"/>
      <c r="E50" s="554"/>
      <c r="F50" s="554"/>
      <c r="G50" s="554"/>
      <c r="H50" s="554"/>
      <c r="I50" s="554"/>
      <c r="J50" s="554"/>
    </row>
    <row r="51" spans="1:10" ht="45" customHeight="1">
      <c r="A51" s="37" t="s">
        <v>138</v>
      </c>
      <c r="B51" s="509">
        <v>1000</v>
      </c>
      <c r="C51" s="38">
        <f>'I. Фін результат'!C8</f>
        <v>100735</v>
      </c>
      <c r="D51" s="38">
        <f>'I. Фін результат'!D8</f>
        <v>119752</v>
      </c>
      <c r="E51" s="38">
        <f>'I. Фін результат'!E8</f>
        <v>119752</v>
      </c>
      <c r="F51" s="38">
        <f>'I. Фін результат'!F8</f>
        <v>139512</v>
      </c>
      <c r="G51" s="38">
        <f t="shared" ref="G51:I52" si="0">F51</f>
        <v>139512</v>
      </c>
      <c r="H51" s="38">
        <f t="shared" si="0"/>
        <v>139512</v>
      </c>
      <c r="I51" s="517">
        <f t="shared" si="0"/>
        <v>139512</v>
      </c>
      <c r="J51" s="518"/>
    </row>
    <row r="52" spans="1:10" ht="47.25" customHeight="1">
      <c r="A52" s="37" t="s">
        <v>119</v>
      </c>
      <c r="B52" s="509">
        <v>1010</v>
      </c>
      <c r="C52" s="38">
        <f>'I. Фін результат'!C9</f>
        <v>-90529</v>
      </c>
      <c r="D52" s="38">
        <f>'I. Фін результат'!D9</f>
        <v>-101944</v>
      </c>
      <c r="E52" s="38">
        <f>'I. Фін результат'!E9</f>
        <v>-101944</v>
      </c>
      <c r="F52" s="38">
        <f>'I. Фін результат'!F9</f>
        <v>-122536</v>
      </c>
      <c r="G52" s="38">
        <f t="shared" si="0"/>
        <v>-122536</v>
      </c>
      <c r="H52" s="38">
        <f t="shared" si="0"/>
        <v>-122536</v>
      </c>
      <c r="I52" s="38">
        <f t="shared" si="0"/>
        <v>-122536</v>
      </c>
      <c r="J52" s="38"/>
    </row>
    <row r="53" spans="1:10" ht="28.5" customHeight="1">
      <c r="A53" s="39" t="s">
        <v>177</v>
      </c>
      <c r="B53" s="509">
        <v>1020</v>
      </c>
      <c r="C53" s="40">
        <f>SUM(C51:C52)</f>
        <v>10206</v>
      </c>
      <c r="D53" s="40">
        <f t="shared" ref="D53:H53" si="1">SUM(D51:D52)</f>
        <v>17808</v>
      </c>
      <c r="E53" s="40">
        <f t="shared" si="1"/>
        <v>17808</v>
      </c>
      <c r="F53" s="40">
        <f t="shared" si="1"/>
        <v>16976</v>
      </c>
      <c r="G53" s="40">
        <f t="shared" si="1"/>
        <v>16976</v>
      </c>
      <c r="H53" s="40">
        <f t="shared" si="1"/>
        <v>16976</v>
      </c>
      <c r="I53" s="40">
        <f>SUM(I51:I52)</f>
        <v>16976</v>
      </c>
      <c r="J53" s="40">
        <f>SUM(J51:J52)</f>
        <v>0</v>
      </c>
    </row>
    <row r="54" spans="1:10" ht="27.75" customHeight="1">
      <c r="A54" s="37" t="s">
        <v>104</v>
      </c>
      <c r="B54" s="509">
        <v>1030</v>
      </c>
      <c r="C54" s="38">
        <f>'I. Фін результат'!C19</f>
        <v>-7827</v>
      </c>
      <c r="D54" s="38">
        <f>'I. Фін результат'!D19</f>
        <v>-9392</v>
      </c>
      <c r="E54" s="38">
        <f>'I. Фін результат'!E19</f>
        <v>-9392</v>
      </c>
      <c r="F54" s="38">
        <f>'I. Фін результат'!F19</f>
        <v>-11320</v>
      </c>
      <c r="G54" s="38">
        <f>F54</f>
        <v>-11320</v>
      </c>
      <c r="H54" s="38">
        <f>G54</f>
        <v>-11320</v>
      </c>
      <c r="I54" s="517">
        <f>H54</f>
        <v>-11320</v>
      </c>
      <c r="J54" s="518"/>
    </row>
    <row r="55" spans="1:10" ht="27.75" customHeight="1">
      <c r="A55" s="37" t="s">
        <v>103</v>
      </c>
      <c r="B55" s="509">
        <v>1060</v>
      </c>
      <c r="C55" s="38">
        <f>'I. Фін результат'!C40</f>
        <v>0</v>
      </c>
      <c r="D55" s="38">
        <f>'I. Фін результат'!D40</f>
        <v>0</v>
      </c>
      <c r="E55" s="38">
        <f>'I. Фін результат'!E40</f>
        <v>0</v>
      </c>
      <c r="F55" s="38">
        <f>'I. Фін результат'!F40</f>
        <v>0</v>
      </c>
      <c r="G55" s="38"/>
      <c r="H55" s="38"/>
      <c r="I55" s="38"/>
      <c r="J55" s="38"/>
    </row>
    <row r="56" spans="1:10" ht="27.75" customHeight="1">
      <c r="A56" s="37" t="s">
        <v>198</v>
      </c>
      <c r="B56" s="509">
        <v>1070</v>
      </c>
      <c r="C56" s="38">
        <f>'I. Фін результат'!C48</f>
        <v>276</v>
      </c>
      <c r="D56" s="38">
        <f>'I. Фін результат'!D48</f>
        <v>0</v>
      </c>
      <c r="E56" s="38">
        <f>'I. Фін результат'!E48</f>
        <v>0</v>
      </c>
      <c r="F56" s="38">
        <f>'I. Фін результат'!F48</f>
        <v>0</v>
      </c>
      <c r="G56" s="38"/>
      <c r="H56" s="38"/>
      <c r="I56" s="38"/>
      <c r="J56" s="38"/>
    </row>
    <row r="57" spans="1:10" ht="27.75" customHeight="1">
      <c r="A57" s="37" t="s">
        <v>26</v>
      </c>
      <c r="B57" s="509">
        <v>1080</v>
      </c>
      <c r="C57" s="38">
        <f>'I. Фін результат'!C52</f>
        <v>-5</v>
      </c>
      <c r="D57" s="38">
        <f>'I. Фін результат'!D52</f>
        <v>0</v>
      </c>
      <c r="E57" s="38">
        <f>'I. Фін результат'!E52</f>
        <v>0</v>
      </c>
      <c r="F57" s="38">
        <f>'I. Фін результат'!F52</f>
        <v>-36</v>
      </c>
      <c r="G57" s="38">
        <v>-36</v>
      </c>
      <c r="H57" s="38">
        <v>-36</v>
      </c>
      <c r="I57" s="38">
        <v>-36</v>
      </c>
      <c r="J57" s="38"/>
    </row>
    <row r="58" spans="1:10" ht="28.5" customHeight="1">
      <c r="A58" s="39" t="s">
        <v>4</v>
      </c>
      <c r="B58" s="509">
        <v>1100</v>
      </c>
      <c r="C58" s="40">
        <f>SUM(C53:C57)</f>
        <v>2650</v>
      </c>
      <c r="D58" s="40">
        <f t="shared" ref="D58:J58" si="2">SUM(D53:D57)</f>
        <v>8416</v>
      </c>
      <c r="E58" s="40">
        <f t="shared" si="2"/>
        <v>8416</v>
      </c>
      <c r="F58" s="40">
        <f t="shared" si="2"/>
        <v>5620</v>
      </c>
      <c r="G58" s="40">
        <f t="shared" si="2"/>
        <v>5620</v>
      </c>
      <c r="H58" s="40">
        <f t="shared" si="2"/>
        <v>5620</v>
      </c>
      <c r="I58" s="40">
        <f t="shared" si="2"/>
        <v>5620</v>
      </c>
      <c r="J58" s="40">
        <f t="shared" si="2"/>
        <v>0</v>
      </c>
    </row>
    <row r="59" spans="1:10" ht="28.5" customHeight="1">
      <c r="A59" s="39" t="s">
        <v>105</v>
      </c>
      <c r="B59" s="509">
        <v>1310</v>
      </c>
      <c r="C59" s="40">
        <f>'I. Фін результат'!C88</f>
        <v>8810</v>
      </c>
      <c r="D59" s="40">
        <f>'I. Фін результат'!D88</f>
        <v>14432</v>
      </c>
      <c r="E59" s="40">
        <f>'I. Фін результат'!E88</f>
        <v>14432</v>
      </c>
      <c r="F59" s="40">
        <f>'I. Фін результат'!F88</f>
        <v>11168</v>
      </c>
      <c r="G59" s="40">
        <f>F59</f>
        <v>11168</v>
      </c>
      <c r="H59" s="40">
        <f>G59</f>
        <v>11168</v>
      </c>
      <c r="I59" s="526">
        <f>H59</f>
        <v>11168</v>
      </c>
      <c r="J59" s="527"/>
    </row>
    <row r="60" spans="1:10" ht="28.5" customHeight="1">
      <c r="A60" s="39" t="s">
        <v>151</v>
      </c>
      <c r="B60" s="509">
        <f>' V. Коефіцієнти'!B9</f>
        <v>5010</v>
      </c>
      <c r="C60" s="510">
        <f>(C59/C51)*100</f>
        <v>8.6999999999999993</v>
      </c>
      <c r="D60" s="510">
        <f t="shared" ref="D60:H60" si="3">(D59/D51)*100</f>
        <v>12.1</v>
      </c>
      <c r="E60" s="510">
        <f t="shared" si="3"/>
        <v>12.1</v>
      </c>
      <c r="F60" s="510">
        <f t="shared" si="3"/>
        <v>8</v>
      </c>
      <c r="G60" s="510">
        <f t="shared" si="3"/>
        <v>8</v>
      </c>
      <c r="H60" s="510">
        <f t="shared" si="3"/>
        <v>8</v>
      </c>
      <c r="I60" s="510">
        <f>(I59/I51)*100</f>
        <v>8</v>
      </c>
      <c r="J60" s="40" t="e">
        <f>(J59/J51)*100</f>
        <v>#DIV/0!</v>
      </c>
    </row>
    <row r="61" spans="1:10" ht="27.75" customHeight="1">
      <c r="A61" s="37" t="s">
        <v>199</v>
      </c>
      <c r="B61" s="509">
        <v>1110</v>
      </c>
      <c r="C61" s="38">
        <f>'I. Фін результат'!C60</f>
        <v>0</v>
      </c>
      <c r="D61" s="38">
        <f>'I. Фін результат'!D60</f>
        <v>0</v>
      </c>
      <c r="E61" s="38">
        <f>'I. Фін результат'!E60</f>
        <v>0</v>
      </c>
      <c r="F61" s="38">
        <f>'I. Фін результат'!F60</f>
        <v>0</v>
      </c>
      <c r="G61" s="38"/>
      <c r="H61" s="38"/>
      <c r="I61" s="38"/>
      <c r="J61" s="38"/>
    </row>
    <row r="62" spans="1:10" ht="27.75" customHeight="1">
      <c r="A62" s="37" t="s">
        <v>200</v>
      </c>
      <c r="B62" s="509">
        <v>1120</v>
      </c>
      <c r="C62" s="38" t="str">
        <f>'I. Фін результат'!C61</f>
        <v>(    )</v>
      </c>
      <c r="D62" s="38" t="str">
        <f>'I. Фін результат'!D61</f>
        <v>(    )</v>
      </c>
      <c r="E62" s="38" t="str">
        <f>'I. Фін результат'!E61</f>
        <v>(    )</v>
      </c>
      <c r="F62" s="38">
        <f>'I. Фін результат'!F61</f>
        <v>0</v>
      </c>
      <c r="G62" s="38"/>
      <c r="H62" s="38"/>
      <c r="I62" s="38"/>
      <c r="J62" s="38"/>
    </row>
    <row r="63" spans="1:10" ht="27.75" customHeight="1">
      <c r="A63" s="37" t="s">
        <v>201</v>
      </c>
      <c r="B63" s="509">
        <v>1130</v>
      </c>
      <c r="C63" s="38">
        <f>'I. Фін результат'!C62</f>
        <v>0</v>
      </c>
      <c r="D63" s="38">
        <f>'I. Фін результат'!D62</f>
        <v>0</v>
      </c>
      <c r="E63" s="38">
        <f>'I. Фін результат'!E62</f>
        <v>0</v>
      </c>
      <c r="F63" s="38">
        <f>'I. Фін результат'!F62</f>
        <v>0</v>
      </c>
      <c r="G63" s="38"/>
      <c r="H63" s="38"/>
      <c r="I63" s="38"/>
      <c r="J63" s="38"/>
    </row>
    <row r="64" spans="1:10" ht="27.75" customHeight="1">
      <c r="A64" s="37" t="s">
        <v>202</v>
      </c>
      <c r="B64" s="509">
        <v>1140</v>
      </c>
      <c r="C64" s="38">
        <f>'I. Фін результат'!C63</f>
        <v>-833</v>
      </c>
      <c r="D64" s="38">
        <f>'I. Фін результат'!D63</f>
        <v>-561</v>
      </c>
      <c r="E64" s="38">
        <f>'I. Фін результат'!E63</f>
        <v>-561</v>
      </c>
      <c r="F64" s="38">
        <f>'I. Фін результат'!F63</f>
        <v>-249</v>
      </c>
      <c r="G64" s="38">
        <f>-кредити!AK124/1000</f>
        <v>-70</v>
      </c>
      <c r="H64" s="38">
        <f>-кредити!AK128/1000</f>
        <v>-2</v>
      </c>
      <c r="I64" s="38">
        <v>0</v>
      </c>
      <c r="J64" s="38"/>
    </row>
    <row r="65" spans="1:10" ht="27.75" customHeight="1">
      <c r="A65" s="37" t="s">
        <v>204</v>
      </c>
      <c r="B65" s="509">
        <v>1150</v>
      </c>
      <c r="C65" s="38">
        <f>'I. Фін результат'!C64</f>
        <v>528</v>
      </c>
      <c r="D65" s="38">
        <f>'I. Фін результат'!D64</f>
        <v>528</v>
      </c>
      <c r="E65" s="38">
        <f>'I. Фін результат'!E64</f>
        <v>528</v>
      </c>
      <c r="F65" s="38">
        <f>'I. Фін результат'!F64</f>
        <v>528</v>
      </c>
      <c r="G65" s="38">
        <v>528</v>
      </c>
      <c r="H65" s="38">
        <v>528</v>
      </c>
      <c r="I65" s="38">
        <v>528</v>
      </c>
      <c r="J65" s="38"/>
    </row>
    <row r="66" spans="1:10" ht="27.75" customHeight="1">
      <c r="A66" s="37" t="s">
        <v>205</v>
      </c>
      <c r="B66" s="509">
        <v>1160</v>
      </c>
      <c r="C66" s="38">
        <f>'I. Фін результат'!C67</f>
        <v>-46</v>
      </c>
      <c r="D66" s="38">
        <f>'I. Фін результат'!D67</f>
        <v>0</v>
      </c>
      <c r="E66" s="38">
        <f>'I. Фін результат'!E67</f>
        <v>0</v>
      </c>
      <c r="F66" s="38">
        <f>'I. Фін результат'!F67</f>
        <v>-36</v>
      </c>
      <c r="G66" s="38">
        <v>-36</v>
      </c>
      <c r="H66" s="38">
        <v>-36</v>
      </c>
      <c r="I66" s="38">
        <v>-36</v>
      </c>
      <c r="J66" s="38"/>
    </row>
    <row r="67" spans="1:10" ht="28.5" customHeight="1">
      <c r="A67" s="39" t="s">
        <v>78</v>
      </c>
      <c r="B67" s="509">
        <v>1170</v>
      </c>
      <c r="C67" s="40">
        <f>SUM(C58, C61:C66)</f>
        <v>2299</v>
      </c>
      <c r="D67" s="40">
        <f t="shared" ref="D67:J67" si="4">SUM(D58, D61:D66)</f>
        <v>8383</v>
      </c>
      <c r="E67" s="40">
        <f t="shared" si="4"/>
        <v>8383</v>
      </c>
      <c r="F67" s="40">
        <f t="shared" si="4"/>
        <v>5863</v>
      </c>
      <c r="G67" s="40">
        <f>SUM(G58, G61:G66)</f>
        <v>6042</v>
      </c>
      <c r="H67" s="40">
        <f t="shared" si="4"/>
        <v>6110</v>
      </c>
      <c r="I67" s="40">
        <f t="shared" si="4"/>
        <v>6112</v>
      </c>
      <c r="J67" s="40">
        <f t="shared" si="4"/>
        <v>0</v>
      </c>
    </row>
    <row r="68" spans="1:10" ht="27.75" customHeight="1">
      <c r="A68" s="37" t="s">
        <v>206</v>
      </c>
      <c r="B68" s="509">
        <v>1180</v>
      </c>
      <c r="C68" s="38" t="str">
        <f>'I. Фін результат'!C71</f>
        <v>(    )</v>
      </c>
      <c r="D68" s="38">
        <f>'I. Фін результат'!D71</f>
        <v>-1510</v>
      </c>
      <c r="E68" s="38">
        <f>'I. Фін результат'!E71</f>
        <v>-1510</v>
      </c>
      <c r="F68" s="38">
        <f>'I. Фін результат'!F71</f>
        <v>-1055</v>
      </c>
      <c r="G68" s="38">
        <f>ROUND(-G67*0.18,0)</f>
        <v>-1088</v>
      </c>
      <c r="H68" s="38">
        <f t="shared" ref="H68:I68" si="5">ROUND(-H67*0.18,0)</f>
        <v>-1100</v>
      </c>
      <c r="I68" s="38">
        <f t="shared" si="5"/>
        <v>-1100</v>
      </c>
      <c r="J68" s="38"/>
    </row>
    <row r="69" spans="1:10" ht="27.75" customHeight="1">
      <c r="A69" s="37" t="s">
        <v>207</v>
      </c>
      <c r="B69" s="509">
        <v>1181</v>
      </c>
      <c r="C69" s="38">
        <f>'I. Фін результат'!C72</f>
        <v>0</v>
      </c>
      <c r="D69" s="38">
        <f>'I. Фін результат'!D72</f>
        <v>0</v>
      </c>
      <c r="E69" s="38">
        <f>'I. Фін результат'!E72</f>
        <v>0</v>
      </c>
      <c r="F69" s="38">
        <f>'I. Фін результат'!F72</f>
        <v>0</v>
      </c>
      <c r="G69" s="38"/>
      <c r="H69" s="38"/>
      <c r="I69" s="38"/>
      <c r="J69" s="38"/>
    </row>
    <row r="70" spans="1:10" ht="42.75" customHeight="1">
      <c r="A70" s="37" t="s">
        <v>208</v>
      </c>
      <c r="B70" s="509">
        <v>1190</v>
      </c>
      <c r="C70" s="38">
        <f>'I. Фін результат'!C73</f>
        <v>0</v>
      </c>
      <c r="D70" s="38">
        <f>'I. Фін результат'!D73</f>
        <v>0</v>
      </c>
      <c r="E70" s="38">
        <f>'I. Фін результат'!E73</f>
        <v>0</v>
      </c>
      <c r="F70" s="38">
        <f>'I. Фін результат'!F73</f>
        <v>0</v>
      </c>
      <c r="G70" s="38"/>
      <c r="H70" s="38"/>
      <c r="I70" s="38"/>
      <c r="J70" s="38"/>
    </row>
    <row r="71" spans="1:10" ht="27.75" customHeight="1">
      <c r="A71" s="37" t="s">
        <v>209</v>
      </c>
      <c r="B71" s="509">
        <v>1191</v>
      </c>
      <c r="C71" s="38" t="str">
        <f>'I. Фін результат'!C74</f>
        <v>(    )</v>
      </c>
      <c r="D71" s="38" t="str">
        <f>'I. Фін результат'!D74</f>
        <v>(    )</v>
      </c>
      <c r="E71" s="38" t="str">
        <f>'I. Фін результат'!E74</f>
        <v>(    )</v>
      </c>
      <c r="F71" s="38">
        <f>'I. Фін результат'!F74</f>
        <v>0</v>
      </c>
      <c r="G71" s="38"/>
      <c r="H71" s="38"/>
      <c r="I71" s="38"/>
      <c r="J71" s="38"/>
    </row>
    <row r="72" spans="1:10" ht="28.5" customHeight="1">
      <c r="A72" s="39" t="s">
        <v>289</v>
      </c>
      <c r="B72" s="509">
        <v>1200</v>
      </c>
      <c r="C72" s="40">
        <f>SUM(C67:C71)</f>
        <v>2299</v>
      </c>
      <c r="D72" s="40">
        <f t="shared" ref="D72:J72" si="6">SUM(D67:D71)</f>
        <v>6873</v>
      </c>
      <c r="E72" s="40">
        <f t="shared" si="6"/>
        <v>6873</v>
      </c>
      <c r="F72" s="40">
        <f t="shared" si="6"/>
        <v>4808</v>
      </c>
      <c r="G72" s="40">
        <f t="shared" si="6"/>
        <v>4954</v>
      </c>
      <c r="H72" s="40">
        <f t="shared" si="6"/>
        <v>5010</v>
      </c>
      <c r="I72" s="40">
        <f t="shared" si="6"/>
        <v>5012</v>
      </c>
      <c r="J72" s="40">
        <f t="shared" si="6"/>
        <v>0</v>
      </c>
    </row>
    <row r="73" spans="1:10" ht="27.75" customHeight="1">
      <c r="A73" s="37" t="s">
        <v>292</v>
      </c>
      <c r="B73" s="509">
        <v>1201</v>
      </c>
      <c r="C73" s="38">
        <f>'I. Фін результат'!C76</f>
        <v>2299</v>
      </c>
      <c r="D73" s="38">
        <f>'I. Фін результат'!D76</f>
        <v>6873</v>
      </c>
      <c r="E73" s="38">
        <f>'I. Фін результат'!E76</f>
        <v>6873</v>
      </c>
      <c r="F73" s="38">
        <f>'I. Фін результат'!F76</f>
        <v>4808</v>
      </c>
      <c r="G73" s="38">
        <f>G72</f>
        <v>4954</v>
      </c>
      <c r="H73" s="38">
        <f t="shared" ref="H73:I73" si="7">H72</f>
        <v>5010</v>
      </c>
      <c r="I73" s="38">
        <f t="shared" si="7"/>
        <v>5012</v>
      </c>
      <c r="J73" s="38"/>
    </row>
    <row r="74" spans="1:10" ht="27.75" customHeight="1">
      <c r="A74" s="37" t="s">
        <v>293</v>
      </c>
      <c r="B74" s="509">
        <v>1202</v>
      </c>
      <c r="C74" s="38" t="str">
        <f>'I. Фін результат'!C77</f>
        <v>(    )</v>
      </c>
      <c r="D74" s="38" t="str">
        <f>'I. Фін результат'!D77</f>
        <v>(    )</v>
      </c>
      <c r="E74" s="38" t="str">
        <f>'I. Фін результат'!E77</f>
        <v>(    )</v>
      </c>
      <c r="F74" s="38">
        <f>'I. Фін результат'!F77</f>
        <v>0</v>
      </c>
      <c r="G74" s="38"/>
      <c r="H74" s="38"/>
      <c r="I74" s="38"/>
      <c r="J74" s="38"/>
    </row>
    <row r="75" spans="1:10" ht="27.75" customHeight="1">
      <c r="A75" s="524" t="s">
        <v>109</v>
      </c>
      <c r="B75" s="524"/>
      <c r="C75" s="524"/>
      <c r="D75" s="524"/>
      <c r="E75" s="524"/>
      <c r="F75" s="524"/>
      <c r="G75" s="524"/>
      <c r="H75" s="524"/>
      <c r="I75" s="524"/>
      <c r="J75" s="524"/>
    </row>
    <row r="76" spans="1:10" ht="52.5" customHeight="1">
      <c r="A76" s="44" t="s">
        <v>600</v>
      </c>
      <c r="B76" s="509">
        <v>2110</v>
      </c>
      <c r="C76" s="38">
        <f>'ІІ. Розр. з бюджетом'!C19</f>
        <v>13066</v>
      </c>
      <c r="D76" s="38">
        <f>'ІІ. Розр. з бюджетом'!D19</f>
        <v>12728</v>
      </c>
      <c r="E76" s="38">
        <f>'ІІ. Розр. з бюджетом'!E19</f>
        <v>12622</v>
      </c>
      <c r="F76" s="38">
        <f>'ІІ. Розр. з бюджетом'!F19</f>
        <v>15000</v>
      </c>
      <c r="G76" s="38">
        <f>F76</f>
        <v>15000</v>
      </c>
      <c r="H76" s="38">
        <f>G76</f>
        <v>15000</v>
      </c>
      <c r="I76" s="517">
        <f>H76</f>
        <v>15000</v>
      </c>
      <c r="J76" s="518"/>
    </row>
    <row r="77" spans="1:10" ht="43.5" customHeight="1">
      <c r="A77" s="46" t="s">
        <v>362</v>
      </c>
      <c r="B77" s="508">
        <v>2120</v>
      </c>
      <c r="C77" s="38">
        <f>'ІІ. Розр. з бюджетом'!C27</f>
        <v>6955</v>
      </c>
      <c r="D77" s="38">
        <f>'ІІ. Розр. з бюджетом'!D27</f>
        <v>10601</v>
      </c>
      <c r="E77" s="38">
        <f>'ІІ. Розр. з бюджетом'!E27</f>
        <v>9339</v>
      </c>
      <c r="F77" s="38">
        <f>'ІІ. Розр. з бюджетом'!F27</f>
        <v>8916</v>
      </c>
      <c r="G77" s="38">
        <f t="shared" ref="G77:H78" si="8">F77</f>
        <v>8916</v>
      </c>
      <c r="H77" s="38">
        <f t="shared" si="8"/>
        <v>8916</v>
      </c>
      <c r="I77" s="517">
        <f>H77</f>
        <v>8916</v>
      </c>
      <c r="J77" s="518"/>
    </row>
    <row r="78" spans="1:10" ht="33" customHeight="1">
      <c r="A78" s="44" t="s">
        <v>363</v>
      </c>
      <c r="B78" s="508">
        <v>2130</v>
      </c>
      <c r="C78" s="38">
        <f>'ІІ. Розр. з бюджетом'!C36</f>
        <v>12608</v>
      </c>
      <c r="D78" s="38">
        <f>'ІІ. Розр. з бюджетом'!D36</f>
        <v>14980</v>
      </c>
      <c r="E78" s="38">
        <f>'ІІ. Розр. з бюджетом'!E36</f>
        <v>13439</v>
      </c>
      <c r="F78" s="38">
        <f>'ІІ. Розр. з бюджетом'!F36</f>
        <v>14132</v>
      </c>
      <c r="G78" s="38">
        <f t="shared" si="8"/>
        <v>14132</v>
      </c>
      <c r="H78" s="38">
        <f t="shared" si="8"/>
        <v>14132</v>
      </c>
      <c r="I78" s="517">
        <f>H78</f>
        <v>14132</v>
      </c>
      <c r="J78" s="518"/>
    </row>
    <row r="79" spans="1:10" ht="30.75" customHeight="1">
      <c r="A79" s="47" t="s">
        <v>357</v>
      </c>
      <c r="B79" s="508">
        <v>2200</v>
      </c>
      <c r="C79" s="40">
        <f>'ІІ. Розр. з бюджетом'!C43</f>
        <v>32629</v>
      </c>
      <c r="D79" s="40">
        <f>'ІІ. Розр. з бюджетом'!D43</f>
        <v>38309</v>
      </c>
      <c r="E79" s="40">
        <f>'ІІ. Розр. з бюджетом'!E43</f>
        <v>35400</v>
      </c>
      <c r="F79" s="40">
        <f>'ІІ. Розр. з бюджетом'!F43</f>
        <v>38048</v>
      </c>
      <c r="G79" s="40">
        <f>SUM(G76:G78)</f>
        <v>38048</v>
      </c>
      <c r="H79" s="40">
        <f t="shared" ref="H79:I79" si="9">SUM(H76:H78)</f>
        <v>38048</v>
      </c>
      <c r="I79" s="40">
        <f t="shared" si="9"/>
        <v>38048</v>
      </c>
      <c r="J79" s="38"/>
    </row>
    <row r="80" spans="1:10" ht="30" customHeight="1">
      <c r="A80" s="524" t="s">
        <v>108</v>
      </c>
      <c r="B80" s="525"/>
      <c r="C80" s="524"/>
      <c r="D80" s="524"/>
      <c r="E80" s="524"/>
      <c r="F80" s="524"/>
      <c r="G80" s="524"/>
      <c r="H80" s="524"/>
      <c r="I80" s="524"/>
      <c r="J80" s="524"/>
    </row>
    <row r="81" spans="1:10" ht="30.75" customHeight="1">
      <c r="A81" s="47" t="s">
        <v>210</v>
      </c>
      <c r="B81" s="508">
        <v>3405</v>
      </c>
      <c r="C81" s="40">
        <f>'ІІІ. Рух грош. коштів'!C66</f>
        <v>580</v>
      </c>
      <c r="D81" s="40">
        <f>'ІІІ. Рух грош. коштів'!D66</f>
        <v>175</v>
      </c>
      <c r="E81" s="40">
        <f>'ІІІ. Рух грош. коштів'!E66</f>
        <v>640</v>
      </c>
      <c r="F81" s="40">
        <f>'ІІІ. Рух грош. коштів'!F66</f>
        <v>515</v>
      </c>
      <c r="G81" s="38" t="s">
        <v>148</v>
      </c>
      <c r="H81" s="38" t="s">
        <v>148</v>
      </c>
      <c r="I81" s="38" t="s">
        <v>148</v>
      </c>
      <c r="J81" s="38" t="s">
        <v>148</v>
      </c>
    </row>
    <row r="82" spans="1:10" ht="27.75" customHeight="1">
      <c r="A82" s="37" t="s">
        <v>279</v>
      </c>
      <c r="B82" s="509">
        <v>3030</v>
      </c>
      <c r="C82" s="38">
        <f>'ІІІ. Рух грош. коштів'!C12</f>
        <v>0</v>
      </c>
      <c r="D82" s="38" t="str">
        <f>'ІІІ. Рух грош. коштів'!D12</f>
        <v>-</v>
      </c>
      <c r="E82" s="38" t="str">
        <f>'ІІІ. Рух грош. коштів'!E12</f>
        <v>-</v>
      </c>
      <c r="F82" s="38">
        <f>'ІІІ. Рух грош. коштів'!F12</f>
        <v>0</v>
      </c>
      <c r="G82" s="38"/>
      <c r="H82" s="38"/>
      <c r="I82" s="38"/>
      <c r="J82" s="38"/>
    </row>
    <row r="83" spans="1:10" ht="27.75" customHeight="1">
      <c r="A83" s="37" t="s">
        <v>211</v>
      </c>
      <c r="B83" s="509">
        <v>3195</v>
      </c>
      <c r="C83" s="38">
        <f>'ІІІ. Рух грош. коштів'!C34</f>
        <v>10378</v>
      </c>
      <c r="D83" s="38">
        <f>'ІІІ. Рух грош. коштів'!D34</f>
        <v>5872</v>
      </c>
      <c r="E83" s="38">
        <f>'ІІІ. Рух грош. коштів'!E34</f>
        <v>5202</v>
      </c>
      <c r="F83" s="38">
        <f>'ІІІ. Рух грош. коштів'!F34</f>
        <v>4308</v>
      </c>
      <c r="G83" s="38" t="s">
        <v>148</v>
      </c>
      <c r="H83" s="38" t="s">
        <v>148</v>
      </c>
      <c r="I83" s="38" t="s">
        <v>148</v>
      </c>
      <c r="J83" s="38" t="s">
        <v>148</v>
      </c>
    </row>
    <row r="84" spans="1:10" ht="27.75" customHeight="1">
      <c r="A84" s="37" t="s">
        <v>112</v>
      </c>
      <c r="B84" s="509">
        <v>3295</v>
      </c>
      <c r="C84" s="38">
        <f>'ІІІ. Рух грош. коштів'!C52</f>
        <v>-1744</v>
      </c>
      <c r="D84" s="38">
        <f>'ІІІ. Рух грош. коштів'!D52</f>
        <v>-144</v>
      </c>
      <c r="E84" s="38">
        <f>'ІІІ. Рух грош. коштів'!E52</f>
        <v>-144</v>
      </c>
      <c r="F84" s="38">
        <f>'ІІІ. Рух грош. коштів'!F52</f>
        <v>-96</v>
      </c>
      <c r="G84" s="38" t="s">
        <v>148</v>
      </c>
      <c r="H84" s="38" t="s">
        <v>148</v>
      </c>
      <c r="I84" s="38" t="s">
        <v>148</v>
      </c>
      <c r="J84" s="38" t="s">
        <v>148</v>
      </c>
    </row>
    <row r="85" spans="1:10" ht="27.75" customHeight="1">
      <c r="A85" s="37" t="s">
        <v>212</v>
      </c>
      <c r="B85" s="509">
        <v>3395</v>
      </c>
      <c r="C85" s="38">
        <f>'ІІІ. Рух грош. коштів'!C64</f>
        <v>-8574</v>
      </c>
      <c r="D85" s="38">
        <f>'ІІІ. Рух грош. коштів'!D64</f>
        <v>-5853</v>
      </c>
      <c r="E85" s="38">
        <f>'ІІІ. Рух грош. коштів'!E64</f>
        <v>-5183</v>
      </c>
      <c r="F85" s="38">
        <f>'ІІІ. Рух грош. коштів'!F64</f>
        <v>-4189</v>
      </c>
      <c r="G85" s="38" t="s">
        <v>148</v>
      </c>
      <c r="H85" s="38" t="s">
        <v>148</v>
      </c>
      <c r="I85" s="38" t="s">
        <v>148</v>
      </c>
      <c r="J85" s="38" t="s">
        <v>148</v>
      </c>
    </row>
    <row r="86" spans="1:10" ht="27.75" customHeight="1">
      <c r="A86" s="37" t="s">
        <v>116</v>
      </c>
      <c r="B86" s="509">
        <v>3410</v>
      </c>
      <c r="C86" s="38">
        <f>'ІІІ. Рух грош. коштів'!C67</f>
        <v>0</v>
      </c>
      <c r="D86" s="38">
        <f>'ІІІ. Рух грош. коштів'!D67</f>
        <v>0</v>
      </c>
      <c r="E86" s="38">
        <f>'ІІІ. Рух грош. коштів'!E67</f>
        <v>0</v>
      </c>
      <c r="F86" s="38">
        <f>'ІІІ. Рух грош. коштів'!F67</f>
        <v>0</v>
      </c>
      <c r="G86" s="38" t="s">
        <v>148</v>
      </c>
      <c r="H86" s="38" t="s">
        <v>148</v>
      </c>
      <c r="I86" s="38" t="s">
        <v>148</v>
      </c>
      <c r="J86" s="38" t="s">
        <v>148</v>
      </c>
    </row>
    <row r="87" spans="1:10" ht="30.75" customHeight="1">
      <c r="A87" s="47" t="s">
        <v>213</v>
      </c>
      <c r="B87" s="508">
        <v>3415</v>
      </c>
      <c r="C87" s="40">
        <f>SUM(C81,C83:C86)</f>
        <v>640</v>
      </c>
      <c r="D87" s="40">
        <f>SUM(D81,D83:D86)</f>
        <v>50</v>
      </c>
      <c r="E87" s="40">
        <f>SUM(E81,E83:E86)</f>
        <v>515</v>
      </c>
      <c r="F87" s="40">
        <f>SUM(F81,F83:F86)</f>
        <v>538</v>
      </c>
      <c r="G87" s="38" t="s">
        <v>148</v>
      </c>
      <c r="H87" s="38" t="s">
        <v>148</v>
      </c>
      <c r="I87" s="38" t="s">
        <v>148</v>
      </c>
      <c r="J87" s="38" t="s">
        <v>148</v>
      </c>
    </row>
    <row r="88" spans="1:10" ht="27.75" customHeight="1">
      <c r="A88" s="548" t="s">
        <v>142</v>
      </c>
      <c r="B88" s="549"/>
      <c r="C88" s="549"/>
      <c r="D88" s="549"/>
      <c r="E88" s="549"/>
      <c r="F88" s="549"/>
      <c r="G88" s="549"/>
      <c r="H88" s="549"/>
      <c r="I88" s="549"/>
      <c r="J88" s="550"/>
    </row>
    <row r="89" spans="1:10" ht="27.75" customHeight="1">
      <c r="A89" s="39" t="s">
        <v>141</v>
      </c>
      <c r="B89" s="509">
        <v>4000</v>
      </c>
      <c r="C89" s="40">
        <f>'IV. Кап. інвестиції'!C7</f>
        <v>1455</v>
      </c>
      <c r="D89" s="40">
        <f>'IV. Кап. інвестиції'!D7</f>
        <v>120</v>
      </c>
      <c r="E89" s="40">
        <f>'IV. Кап. інвестиції'!E7</f>
        <v>120</v>
      </c>
      <c r="F89" s="40">
        <f>'IV. Кап. інвестиції'!F7</f>
        <v>80</v>
      </c>
      <c r="G89" s="40">
        <f>ROUND(F89,0)</f>
        <v>80</v>
      </c>
      <c r="H89" s="40">
        <f>ROUND(G89,0)</f>
        <v>80</v>
      </c>
      <c r="I89" s="526">
        <f>ROUND(H89,0)</f>
        <v>80</v>
      </c>
      <c r="J89" s="527"/>
    </row>
    <row r="90" spans="1:10" ht="24.9" customHeight="1">
      <c r="A90" s="555" t="s">
        <v>145</v>
      </c>
      <c r="B90" s="555"/>
      <c r="C90" s="555"/>
      <c r="D90" s="555"/>
      <c r="E90" s="555"/>
      <c r="F90" s="555"/>
      <c r="G90" s="555"/>
      <c r="H90" s="555"/>
      <c r="I90" s="555"/>
      <c r="J90" s="555"/>
    </row>
    <row r="91" spans="1:10" ht="27.75" customHeight="1">
      <c r="A91" s="37" t="s">
        <v>214</v>
      </c>
      <c r="B91" s="509">
        <v>5040</v>
      </c>
      <c r="C91" s="84">
        <f t="shared" ref="C91:F91" si="10">(C72/C51)*100</f>
        <v>2.2999999999999998</v>
      </c>
      <c r="D91" s="84">
        <f t="shared" si="10"/>
        <v>5.7</v>
      </c>
      <c r="E91" s="84">
        <f t="shared" si="10"/>
        <v>5.7</v>
      </c>
      <c r="F91" s="84">
        <f t="shared" si="10"/>
        <v>3.4</v>
      </c>
      <c r="G91" s="84">
        <f>(G72/G51)*100</f>
        <v>3.6</v>
      </c>
      <c r="H91" s="84">
        <f>(H72/H51)*100</f>
        <v>3.6</v>
      </c>
      <c r="I91" s="84">
        <f>(I72/I51)*100</f>
        <v>3.6</v>
      </c>
      <c r="J91" s="38" t="e">
        <f>(J72/J51)*100</f>
        <v>#DIV/0!</v>
      </c>
    </row>
    <row r="92" spans="1:10" ht="27.75" customHeight="1">
      <c r="A92" s="37" t="s">
        <v>215</v>
      </c>
      <c r="B92" s="509">
        <v>5020</v>
      </c>
      <c r="C92" s="84">
        <f>(C72/C103)*100</f>
        <v>3.4</v>
      </c>
      <c r="D92" s="84">
        <f t="shared" ref="D92:F92" si="11">(D72/D103)*100</f>
        <v>8.9</v>
      </c>
      <c r="E92" s="84">
        <f t="shared" si="11"/>
        <v>8.9</v>
      </c>
      <c r="F92" s="84">
        <f t="shared" si="11"/>
        <v>6.2</v>
      </c>
      <c r="G92" s="84" t="s">
        <v>148</v>
      </c>
      <c r="H92" s="84" t="s">
        <v>148</v>
      </c>
      <c r="I92" s="84" t="s">
        <v>148</v>
      </c>
      <c r="J92" s="38" t="s">
        <v>148</v>
      </c>
    </row>
    <row r="93" spans="1:10" ht="27.75" customHeight="1">
      <c r="A93" s="37" t="s">
        <v>216</v>
      </c>
      <c r="B93" s="509">
        <v>5030</v>
      </c>
      <c r="C93" s="84">
        <f>(C72/C104)*100</f>
        <v>5.6</v>
      </c>
      <c r="D93" s="84">
        <f t="shared" ref="D93:F93" si="12">(D72/D104)*100</f>
        <v>10.199999999999999</v>
      </c>
      <c r="E93" s="84">
        <f t="shared" si="12"/>
        <v>10.199999999999999</v>
      </c>
      <c r="F93" s="84">
        <f t="shared" si="12"/>
        <v>6.7</v>
      </c>
      <c r="G93" s="84" t="s">
        <v>148</v>
      </c>
      <c r="H93" s="84" t="s">
        <v>148</v>
      </c>
      <c r="I93" s="84" t="s">
        <v>148</v>
      </c>
      <c r="J93" s="38" t="s">
        <v>148</v>
      </c>
    </row>
    <row r="94" spans="1:10" ht="27.75" customHeight="1">
      <c r="A94" s="37" t="s">
        <v>152</v>
      </c>
      <c r="B94" s="509">
        <v>5110</v>
      </c>
      <c r="C94" s="84">
        <f>C104/C107</f>
        <v>1.6</v>
      </c>
      <c r="D94" s="84">
        <f>D104/D107</f>
        <v>7</v>
      </c>
      <c r="E94" s="84">
        <f t="shared" ref="E94:F94" si="13">E104/E107</f>
        <v>7</v>
      </c>
      <c r="F94" s="84">
        <f t="shared" si="13"/>
        <v>13.3</v>
      </c>
      <c r="G94" s="84" t="s">
        <v>148</v>
      </c>
      <c r="H94" s="84" t="s">
        <v>148</v>
      </c>
      <c r="I94" s="84" t="s">
        <v>148</v>
      </c>
      <c r="J94" s="38" t="s">
        <v>148</v>
      </c>
    </row>
    <row r="95" spans="1:10" ht="27.75" customHeight="1">
      <c r="A95" s="37" t="s">
        <v>217</v>
      </c>
      <c r="B95" s="509">
        <v>5220</v>
      </c>
      <c r="C95" s="84">
        <f>C100/C99</f>
        <v>0.4</v>
      </c>
      <c r="D95" s="84">
        <f t="shared" ref="D95:F95" si="14">D100/D99</f>
        <v>0.5</v>
      </c>
      <c r="E95" s="84">
        <f t="shared" si="14"/>
        <v>0.5</v>
      </c>
      <c r="F95" s="84">
        <f t="shared" si="14"/>
        <v>0.6</v>
      </c>
      <c r="G95" s="84" t="s">
        <v>148</v>
      </c>
      <c r="H95" s="84" t="s">
        <v>148</v>
      </c>
      <c r="I95" s="84" t="s">
        <v>148</v>
      </c>
      <c r="J95" s="38" t="s">
        <v>148</v>
      </c>
    </row>
    <row r="96" spans="1:10" ht="33.75" customHeight="1">
      <c r="A96" s="524" t="s">
        <v>144</v>
      </c>
      <c r="B96" s="524"/>
      <c r="C96" s="524"/>
      <c r="D96" s="524"/>
      <c r="E96" s="524"/>
      <c r="F96" s="524"/>
      <c r="G96" s="524"/>
      <c r="H96" s="524"/>
      <c r="I96" s="524"/>
      <c r="J96" s="524"/>
    </row>
    <row r="97" spans="1:12" ht="27.75" customHeight="1">
      <c r="A97" s="39" t="s">
        <v>218</v>
      </c>
      <c r="B97" s="509">
        <v>6000</v>
      </c>
      <c r="C97" s="40">
        <v>42152</v>
      </c>
      <c r="D97" s="40">
        <v>37966</v>
      </c>
      <c r="E97" s="40">
        <f>D97</f>
        <v>37966</v>
      </c>
      <c r="F97" s="40">
        <v>36891</v>
      </c>
      <c r="G97" s="40" t="s">
        <v>148</v>
      </c>
      <c r="H97" s="40" t="s">
        <v>148</v>
      </c>
      <c r="I97" s="40" t="s">
        <v>148</v>
      </c>
      <c r="J97" s="38" t="s">
        <v>148</v>
      </c>
      <c r="L97" s="374">
        <f>F99-E99</f>
        <v>80</v>
      </c>
    </row>
    <row r="98" spans="1:12" ht="27.75" customHeight="1">
      <c r="A98" s="37" t="s">
        <v>295</v>
      </c>
      <c r="B98" s="509">
        <v>6001</v>
      </c>
      <c r="C98" s="38">
        <f>C99-C100</f>
        <v>40862</v>
      </c>
      <c r="D98" s="38">
        <f>D99-D100</f>
        <v>37966</v>
      </c>
      <c r="E98" s="38">
        <f>E99-E100</f>
        <v>37966</v>
      </c>
      <c r="F98" s="38">
        <f>F99-F100</f>
        <v>32498</v>
      </c>
      <c r="G98" s="38" t="s">
        <v>148</v>
      </c>
      <c r="H98" s="38" t="s">
        <v>148</v>
      </c>
      <c r="I98" s="38" t="s">
        <v>148</v>
      </c>
      <c r="J98" s="38" t="s">
        <v>148</v>
      </c>
      <c r="L98" s="374">
        <f>C99-D99</f>
        <v>-3123</v>
      </c>
    </row>
    <row r="99" spans="1:12" ht="27.75" customHeight="1">
      <c r="A99" s="37" t="s">
        <v>219</v>
      </c>
      <c r="B99" s="509">
        <v>6002</v>
      </c>
      <c r="C99" s="38">
        <v>69473</v>
      </c>
      <c r="D99" s="38">
        <v>72596</v>
      </c>
      <c r="E99" s="38">
        <f>D99</f>
        <v>72596</v>
      </c>
      <c r="F99" s="38">
        <f>E99+'IV. Кап. інвестиції'!F7</f>
        <v>72676</v>
      </c>
      <c r="G99" s="38" t="s">
        <v>148</v>
      </c>
      <c r="H99" s="38" t="s">
        <v>148</v>
      </c>
      <c r="I99" s="38" t="s">
        <v>148</v>
      </c>
      <c r="J99" s="38" t="s">
        <v>148</v>
      </c>
      <c r="L99" s="374">
        <f>F99-E99</f>
        <v>80</v>
      </c>
    </row>
    <row r="100" spans="1:12" ht="27.75" customHeight="1">
      <c r="A100" s="37" t="s">
        <v>220</v>
      </c>
      <c r="B100" s="509">
        <v>6003</v>
      </c>
      <c r="C100" s="38">
        <v>28611</v>
      </c>
      <c r="D100" s="38">
        <v>34630</v>
      </c>
      <c r="E100" s="38">
        <f>D100</f>
        <v>34630</v>
      </c>
      <c r="F100" s="38">
        <f>E100+'I. Фін результат'!F93</f>
        <v>40178</v>
      </c>
      <c r="G100" s="38" t="s">
        <v>148</v>
      </c>
      <c r="H100" s="38" t="s">
        <v>148</v>
      </c>
      <c r="I100" s="38" t="s">
        <v>148</v>
      </c>
      <c r="J100" s="38" t="s">
        <v>148</v>
      </c>
      <c r="L100" s="374">
        <f>F100-E100</f>
        <v>5548</v>
      </c>
    </row>
    <row r="101" spans="1:12" ht="27.75" customHeight="1">
      <c r="A101" s="39" t="s">
        <v>221</v>
      </c>
      <c r="B101" s="509">
        <v>6010</v>
      </c>
      <c r="C101" s="40">
        <v>24908</v>
      </c>
      <c r="D101" s="40">
        <v>38984</v>
      </c>
      <c r="E101" s="40">
        <v>38984</v>
      </c>
      <c r="F101" s="40">
        <v>40097</v>
      </c>
      <c r="G101" s="40" t="s">
        <v>148</v>
      </c>
      <c r="H101" s="40" t="s">
        <v>148</v>
      </c>
      <c r="I101" s="40" t="s">
        <v>148</v>
      </c>
      <c r="J101" s="38" t="s">
        <v>148</v>
      </c>
    </row>
    <row r="102" spans="1:12" ht="27.75" customHeight="1">
      <c r="A102" s="37" t="s">
        <v>296</v>
      </c>
      <c r="B102" s="509">
        <v>6011</v>
      </c>
      <c r="C102" s="38">
        <f>'ІІІ. Рух грош. коштів'!C68</f>
        <v>640</v>
      </c>
      <c r="D102" s="38">
        <f>'ІІІ. Рух грош. коштів'!D68</f>
        <v>50</v>
      </c>
      <c r="E102" s="38">
        <f>'ІІІ. Рух грош. коштів'!E68</f>
        <v>515</v>
      </c>
      <c r="F102" s="38">
        <f>'ІІІ. Рух грош. коштів'!F68</f>
        <v>538</v>
      </c>
      <c r="G102" s="38" t="s">
        <v>148</v>
      </c>
      <c r="H102" s="38" t="s">
        <v>148</v>
      </c>
      <c r="I102" s="38" t="s">
        <v>148</v>
      </c>
      <c r="J102" s="38" t="s">
        <v>148</v>
      </c>
    </row>
    <row r="103" spans="1:12" ht="27.75" customHeight="1">
      <c r="A103" s="39" t="s">
        <v>167</v>
      </c>
      <c r="B103" s="509">
        <v>6020</v>
      </c>
      <c r="C103" s="40">
        <f>C97+C101</f>
        <v>67060</v>
      </c>
      <c r="D103" s="40">
        <f t="shared" ref="D103:F103" si="15">D97+D101</f>
        <v>76950</v>
      </c>
      <c r="E103" s="40">
        <f t="shared" si="15"/>
        <v>76950</v>
      </c>
      <c r="F103" s="40">
        <f t="shared" si="15"/>
        <v>76988</v>
      </c>
      <c r="G103" s="40" t="s">
        <v>148</v>
      </c>
      <c r="H103" s="40" t="s">
        <v>148</v>
      </c>
      <c r="I103" s="40" t="s">
        <v>148</v>
      </c>
      <c r="J103" s="38" t="s">
        <v>148</v>
      </c>
    </row>
    <row r="104" spans="1:12" ht="27.75" customHeight="1">
      <c r="A104" s="39" t="s">
        <v>106</v>
      </c>
      <c r="B104" s="509">
        <v>6030</v>
      </c>
      <c r="C104" s="40">
        <v>41323</v>
      </c>
      <c r="D104" s="40">
        <v>67295</v>
      </c>
      <c r="E104" s="40">
        <f>D104</f>
        <v>67295</v>
      </c>
      <c r="F104" s="40">
        <f>E104+'I. Фін результат'!F76+'ІІ. Розр. з бюджетом'!F10+'VII Статутн капіт'!F9</f>
        <v>71622</v>
      </c>
      <c r="G104" s="38" t="s">
        <v>148</v>
      </c>
      <c r="H104" s="38" t="s">
        <v>148</v>
      </c>
      <c r="I104" s="38" t="s">
        <v>148</v>
      </c>
      <c r="J104" s="38"/>
    </row>
    <row r="105" spans="1:12" ht="27.75" customHeight="1">
      <c r="A105" s="37" t="s">
        <v>117</v>
      </c>
      <c r="B105" s="509">
        <v>6040</v>
      </c>
      <c r="C105" s="38">
        <v>8399</v>
      </c>
      <c r="D105" s="38">
        <v>4867</v>
      </c>
      <c r="E105" s="38">
        <v>5537</v>
      </c>
      <c r="F105" s="38">
        <f>'6.1. Інша інфо_1'!M60</f>
        <v>2288</v>
      </c>
      <c r="G105" s="38" t="s">
        <v>148</v>
      </c>
      <c r="H105" s="38" t="s">
        <v>148</v>
      </c>
      <c r="I105" s="38" t="s">
        <v>148</v>
      </c>
      <c r="J105" s="38" t="s">
        <v>148</v>
      </c>
    </row>
    <row r="106" spans="1:12" ht="27.75" customHeight="1">
      <c r="A106" s="37" t="s">
        <v>118</v>
      </c>
      <c r="B106" s="509">
        <v>6050</v>
      </c>
      <c r="C106" s="38">
        <v>17338</v>
      </c>
      <c r="D106" s="38">
        <v>4788</v>
      </c>
      <c r="E106" s="38">
        <v>4118</v>
      </c>
      <c r="F106" s="38">
        <v>3078</v>
      </c>
      <c r="G106" s="38" t="s">
        <v>148</v>
      </c>
      <c r="H106" s="38" t="s">
        <v>148</v>
      </c>
      <c r="I106" s="38" t="s">
        <v>148</v>
      </c>
      <c r="J106" s="38" t="s">
        <v>148</v>
      </c>
    </row>
    <row r="107" spans="1:12" ht="27.75" customHeight="1">
      <c r="A107" s="39" t="s">
        <v>166</v>
      </c>
      <c r="B107" s="509">
        <v>6060</v>
      </c>
      <c r="C107" s="40">
        <f>SUM(C105:C106)</f>
        <v>25737</v>
      </c>
      <c r="D107" s="40">
        <f>SUM(D105:D106)</f>
        <v>9655</v>
      </c>
      <c r="E107" s="40">
        <f>SUM(E105:E106)</f>
        <v>9655</v>
      </c>
      <c r="F107" s="40">
        <f>SUM(F105:F106)</f>
        <v>5366</v>
      </c>
      <c r="G107" s="40" t="s">
        <v>148</v>
      </c>
      <c r="H107" s="40" t="s">
        <v>148</v>
      </c>
      <c r="I107" s="40" t="s">
        <v>148</v>
      </c>
      <c r="J107" s="38" t="s">
        <v>148</v>
      </c>
    </row>
    <row r="108" spans="1:12" ht="27.75" customHeight="1">
      <c r="A108" s="37" t="s">
        <v>297</v>
      </c>
      <c r="B108" s="509">
        <v>6070</v>
      </c>
      <c r="C108" s="38"/>
      <c r="D108" s="38"/>
      <c r="E108" s="38"/>
      <c r="F108" s="38"/>
      <c r="G108" s="38" t="s">
        <v>148</v>
      </c>
      <c r="H108" s="38" t="s">
        <v>148</v>
      </c>
      <c r="I108" s="38" t="s">
        <v>148</v>
      </c>
      <c r="J108" s="38"/>
    </row>
    <row r="109" spans="1:12" ht="27.75" customHeight="1">
      <c r="A109" s="37" t="s">
        <v>298</v>
      </c>
      <c r="B109" s="509">
        <v>6080</v>
      </c>
      <c r="C109" s="38">
        <v>9232</v>
      </c>
      <c r="D109" s="38">
        <v>4867</v>
      </c>
      <c r="E109" s="38">
        <v>5537</v>
      </c>
      <c r="F109" s="38">
        <f>'6.1. Інша інфо_1'!M70</f>
        <v>2288</v>
      </c>
      <c r="G109" s="38" t="s">
        <v>148</v>
      </c>
      <c r="H109" s="38" t="s">
        <v>148</v>
      </c>
      <c r="I109" s="38" t="s">
        <v>148</v>
      </c>
      <c r="J109" s="38" t="s">
        <v>148</v>
      </c>
    </row>
    <row r="110" spans="1:12" ht="27.75" customHeight="1">
      <c r="A110" s="39" t="s">
        <v>338</v>
      </c>
      <c r="B110" s="509">
        <v>6090</v>
      </c>
      <c r="C110" s="40">
        <f>C104+C107</f>
        <v>67060</v>
      </c>
      <c r="D110" s="40">
        <f t="shared" ref="D110:F110" si="16">D104+D107</f>
        <v>76950</v>
      </c>
      <c r="E110" s="40">
        <f t="shared" si="16"/>
        <v>76950</v>
      </c>
      <c r="F110" s="40">
        <f t="shared" si="16"/>
        <v>76988</v>
      </c>
      <c r="G110" s="38" t="s">
        <v>148</v>
      </c>
      <c r="H110" s="38" t="s">
        <v>148</v>
      </c>
      <c r="I110" s="38" t="s">
        <v>148</v>
      </c>
      <c r="J110" s="38"/>
    </row>
    <row r="111" spans="1:12" ht="27.75" customHeight="1">
      <c r="A111" s="39" t="s">
        <v>339</v>
      </c>
      <c r="B111" s="509">
        <v>6099</v>
      </c>
      <c r="C111" s="40">
        <f>C103-C110</f>
        <v>0</v>
      </c>
      <c r="D111" s="40">
        <f>D103-D110</f>
        <v>0</v>
      </c>
      <c r="E111" s="40">
        <f t="shared" ref="E111:F111" si="17">E103-E110</f>
        <v>0</v>
      </c>
      <c r="F111" s="40">
        <f t="shared" si="17"/>
        <v>0</v>
      </c>
      <c r="G111" s="40" t="s">
        <v>148</v>
      </c>
      <c r="H111" s="40" t="s">
        <v>148</v>
      </c>
      <c r="I111" s="40" t="s">
        <v>148</v>
      </c>
      <c r="J111" s="38" t="s">
        <v>148</v>
      </c>
    </row>
    <row r="112" spans="1:12" s="311" customFormat="1" ht="41.25" customHeight="1">
      <c r="A112" s="524" t="s">
        <v>222</v>
      </c>
      <c r="B112" s="524"/>
      <c r="C112" s="524"/>
      <c r="D112" s="524"/>
      <c r="E112" s="524"/>
      <c r="F112" s="524"/>
      <c r="G112" s="524"/>
      <c r="H112" s="524"/>
      <c r="I112" s="524"/>
      <c r="J112" s="524"/>
    </row>
    <row r="113" spans="1:10" ht="27.75" customHeight="1">
      <c r="A113" s="39" t="s">
        <v>280</v>
      </c>
      <c r="B113" s="509" t="s">
        <v>223</v>
      </c>
      <c r="C113" s="40">
        <f t="shared" ref="C113:J113" si="18">SUM(C114:C116)</f>
        <v>2500</v>
      </c>
      <c r="D113" s="40">
        <f t="shared" si="18"/>
        <v>1917</v>
      </c>
      <c r="E113" s="429">
        <f t="shared" si="18"/>
        <v>1917</v>
      </c>
      <c r="F113" s="40">
        <f t="shared" si="18"/>
        <v>0</v>
      </c>
      <c r="G113" s="40">
        <f t="shared" si="18"/>
        <v>0</v>
      </c>
      <c r="H113" s="40">
        <f t="shared" si="18"/>
        <v>0</v>
      </c>
      <c r="I113" s="40">
        <f t="shared" si="18"/>
        <v>0</v>
      </c>
      <c r="J113" s="38">
        <f t="shared" si="18"/>
        <v>0</v>
      </c>
    </row>
    <row r="114" spans="1:10" ht="27.75" customHeight="1">
      <c r="A114" s="37" t="s">
        <v>299</v>
      </c>
      <c r="B114" s="509" t="s">
        <v>224</v>
      </c>
      <c r="C114" s="38"/>
      <c r="D114" s="38"/>
      <c r="E114" s="428">
        <f>D114</f>
        <v>0</v>
      </c>
      <c r="F114" s="38">
        <f>'6.1. Інша інфо_1'!G60</f>
        <v>0</v>
      </c>
      <c r="G114" s="38"/>
      <c r="H114" s="38"/>
      <c r="I114" s="38"/>
      <c r="J114" s="38"/>
    </row>
    <row r="115" spans="1:10" ht="27.75" customHeight="1">
      <c r="A115" s="37" t="s">
        <v>300</v>
      </c>
      <c r="B115" s="509" t="s">
        <v>225</v>
      </c>
      <c r="C115" s="38">
        <v>2500</v>
      </c>
      <c r="D115" s="38">
        <v>1917</v>
      </c>
      <c r="E115" s="428">
        <f>D115</f>
        <v>1917</v>
      </c>
      <c r="F115" s="38">
        <f>'6.1. Інша інфо_1'!G66</f>
        <v>0</v>
      </c>
      <c r="G115" s="38"/>
      <c r="H115" s="38"/>
      <c r="I115" s="38"/>
      <c r="J115" s="38"/>
    </row>
    <row r="116" spans="1:10" ht="27.75" customHeight="1">
      <c r="A116" s="37" t="s">
        <v>301</v>
      </c>
      <c r="B116" s="509" t="s">
        <v>226</v>
      </c>
      <c r="C116" s="38"/>
      <c r="D116" s="38"/>
      <c r="E116" s="428"/>
      <c r="F116" s="38">
        <f>'6.1. Інша інфо_1'!G68</f>
        <v>0</v>
      </c>
      <c r="G116" s="38"/>
      <c r="H116" s="38"/>
      <c r="I116" s="38"/>
      <c r="J116" s="38"/>
    </row>
    <row r="117" spans="1:10" ht="46.5" customHeight="1">
      <c r="A117" s="39" t="s">
        <v>281</v>
      </c>
      <c r="B117" s="509" t="s">
        <v>227</v>
      </c>
      <c r="C117" s="40">
        <f t="shared" ref="C117:J117" si="19">SUM(C118:C120)</f>
        <v>9783</v>
      </c>
      <c r="D117" s="40">
        <f t="shared" si="19"/>
        <v>6282</v>
      </c>
      <c r="E117" s="429">
        <f t="shared" si="19"/>
        <v>5612</v>
      </c>
      <c r="F117" s="40">
        <f t="shared" si="19"/>
        <v>3249</v>
      </c>
      <c r="G117" s="40">
        <f t="shared" si="19"/>
        <v>2119</v>
      </c>
      <c r="H117" s="40">
        <f t="shared" si="19"/>
        <v>169</v>
      </c>
      <c r="I117" s="40">
        <f t="shared" si="19"/>
        <v>0</v>
      </c>
      <c r="J117" s="38">
        <f t="shared" si="19"/>
        <v>0</v>
      </c>
    </row>
    <row r="118" spans="1:10" ht="27.75" customHeight="1">
      <c r="A118" s="37" t="s">
        <v>299</v>
      </c>
      <c r="B118" s="509" t="s">
        <v>228</v>
      </c>
      <c r="C118" s="38">
        <v>3616</v>
      </c>
      <c r="D118" s="38">
        <v>3532</v>
      </c>
      <c r="E118" s="428">
        <v>2862</v>
      </c>
      <c r="F118" s="38">
        <f>'6.1. Інша інфо_1'!J60</f>
        <v>3249</v>
      </c>
      <c r="G118" s="38">
        <v>2119</v>
      </c>
      <c r="H118" s="38">
        <v>169</v>
      </c>
      <c r="I118" s="38">
        <v>0</v>
      </c>
      <c r="J118" s="38"/>
    </row>
    <row r="119" spans="1:10" ht="27.75" customHeight="1">
      <c r="A119" s="37" t="s">
        <v>300</v>
      </c>
      <c r="B119" s="509" t="s">
        <v>229</v>
      </c>
      <c r="C119" s="38">
        <v>6167</v>
      </c>
      <c r="D119" s="38">
        <v>2750</v>
      </c>
      <c r="E119" s="428">
        <f>D119</f>
        <v>2750</v>
      </c>
      <c r="F119" s="38">
        <f>'6.1. Інша інфо_1'!J66</f>
        <v>0</v>
      </c>
      <c r="G119" s="38"/>
      <c r="H119" s="38"/>
      <c r="I119" s="38" t="s">
        <v>457</v>
      </c>
      <c r="J119" s="38"/>
    </row>
    <row r="120" spans="1:10" ht="27.75" customHeight="1">
      <c r="A120" s="37" t="s">
        <v>301</v>
      </c>
      <c r="B120" s="509" t="s">
        <v>230</v>
      </c>
      <c r="C120" s="38"/>
      <c r="D120" s="38"/>
      <c r="E120" s="428"/>
      <c r="F120" s="38">
        <f>'6.1. Інша інфо_1'!J68</f>
        <v>0</v>
      </c>
      <c r="G120" s="38"/>
      <c r="H120" s="38"/>
      <c r="I120" s="38"/>
      <c r="J120" s="38"/>
    </row>
    <row r="121" spans="1:10" ht="31.5" customHeight="1">
      <c r="A121" s="524" t="s">
        <v>231</v>
      </c>
      <c r="B121" s="524"/>
      <c r="C121" s="524"/>
      <c r="D121" s="524"/>
      <c r="E121" s="524"/>
      <c r="F121" s="524"/>
      <c r="G121" s="524"/>
      <c r="H121" s="524"/>
      <c r="I121" s="524"/>
      <c r="J121" s="524"/>
    </row>
    <row r="122" spans="1:10" s="298" customFormat="1" ht="69" customHeight="1">
      <c r="A122" s="47" t="s">
        <v>355</v>
      </c>
      <c r="B122" s="50" t="s">
        <v>232</v>
      </c>
      <c r="C122" s="40">
        <f>SUM(C123:C125)</f>
        <v>213</v>
      </c>
      <c r="D122" s="40">
        <f>SUM(D123:D125)</f>
        <v>213</v>
      </c>
      <c r="E122" s="40">
        <f>SUM(E123:E125)</f>
        <v>214</v>
      </c>
      <c r="F122" s="40">
        <f>SUM(F123:F125)</f>
        <v>214</v>
      </c>
      <c r="G122" s="48" t="s">
        <v>148</v>
      </c>
      <c r="H122" s="48" t="s">
        <v>148</v>
      </c>
      <c r="I122" s="48" t="s">
        <v>148</v>
      </c>
      <c r="J122" s="48" t="s">
        <v>148</v>
      </c>
    </row>
    <row r="123" spans="1:10" ht="27.75" customHeight="1">
      <c r="A123" s="37" t="s">
        <v>162</v>
      </c>
      <c r="B123" s="509" t="s">
        <v>233</v>
      </c>
      <c r="C123" s="38">
        <f>'6.1. Інша інфо_1'!D11</f>
        <v>1</v>
      </c>
      <c r="D123" s="38">
        <f>'6.1. Інша інфо_1'!F11</f>
        <v>1</v>
      </c>
      <c r="E123" s="38">
        <f>'6.1. Інша інфо_1'!H11</f>
        <v>1</v>
      </c>
      <c r="F123" s="38">
        <f>'6.1. Інша інфо_1'!J11</f>
        <v>1</v>
      </c>
      <c r="G123" s="38" t="s">
        <v>148</v>
      </c>
      <c r="H123" s="38" t="s">
        <v>148</v>
      </c>
      <c r="I123" s="38" t="s">
        <v>148</v>
      </c>
      <c r="J123" s="38" t="s">
        <v>148</v>
      </c>
    </row>
    <row r="124" spans="1:10" ht="27.75" customHeight="1">
      <c r="A124" s="37" t="s">
        <v>171</v>
      </c>
      <c r="B124" s="509" t="s">
        <v>234</v>
      </c>
      <c r="C124" s="38">
        <f>'6.1. Інша інфо_1'!D12</f>
        <v>40</v>
      </c>
      <c r="D124" s="38">
        <f>'6.1. Інша інфо_1'!F12</f>
        <v>40</v>
      </c>
      <c r="E124" s="38">
        <f>'6.1. Інша інфо_1'!H12</f>
        <v>40</v>
      </c>
      <c r="F124" s="38">
        <f>'6.1. Інша інфо_1'!J12</f>
        <v>40</v>
      </c>
      <c r="G124" s="38" t="s">
        <v>148</v>
      </c>
      <c r="H124" s="38" t="s">
        <v>148</v>
      </c>
      <c r="I124" s="38" t="s">
        <v>148</v>
      </c>
      <c r="J124" s="38" t="s">
        <v>148</v>
      </c>
    </row>
    <row r="125" spans="1:10" ht="27.75" customHeight="1">
      <c r="A125" s="37" t="s">
        <v>163</v>
      </c>
      <c r="B125" s="509" t="s">
        <v>235</v>
      </c>
      <c r="C125" s="38">
        <f>'6.1. Інша інфо_1'!D13</f>
        <v>172</v>
      </c>
      <c r="D125" s="38">
        <f>'6.1. Інша інфо_1'!F13</f>
        <v>172</v>
      </c>
      <c r="E125" s="38">
        <f>'6.1. Інша інфо_1'!H13</f>
        <v>173</v>
      </c>
      <c r="F125" s="38">
        <f>'6.1. Інша інфо_1'!J13</f>
        <v>173</v>
      </c>
      <c r="G125" s="38" t="s">
        <v>148</v>
      </c>
      <c r="H125" s="38" t="s">
        <v>148</v>
      </c>
      <c r="I125" s="38" t="s">
        <v>148</v>
      </c>
      <c r="J125" s="38" t="s">
        <v>148</v>
      </c>
    </row>
    <row r="126" spans="1:10" ht="27.75" customHeight="1">
      <c r="A126" s="39" t="s">
        <v>5</v>
      </c>
      <c r="B126" s="509" t="s">
        <v>236</v>
      </c>
      <c r="C126" s="40">
        <f>'I. Фін результат'!C91</f>
        <v>36629</v>
      </c>
      <c r="D126" s="40">
        <f>'I. Фін результат'!D91</f>
        <v>45836</v>
      </c>
      <c r="E126" s="40">
        <f>'I. Фін результат'!E91</f>
        <v>38831</v>
      </c>
      <c r="F126" s="40">
        <f>'I. Фін результат'!F91</f>
        <v>40092</v>
      </c>
      <c r="G126" s="40" t="s">
        <v>148</v>
      </c>
      <c r="H126" s="40" t="s">
        <v>148</v>
      </c>
      <c r="I126" s="40" t="s">
        <v>148</v>
      </c>
      <c r="J126" s="38" t="s">
        <v>148</v>
      </c>
    </row>
    <row r="127" spans="1:10" s="298" customFormat="1" ht="48.75" customHeight="1">
      <c r="A127" s="47" t="s">
        <v>302</v>
      </c>
      <c r="B127" s="50" t="s">
        <v>237</v>
      </c>
      <c r="C127" s="40">
        <f>'6.1. Інша інфо_1'!D22</f>
        <v>14331</v>
      </c>
      <c r="D127" s="40">
        <f>'6.1. Інша інфо_1'!F22</f>
        <v>17933</v>
      </c>
      <c r="E127" s="40">
        <f>'6.1. Інша інфо_1'!H22</f>
        <v>15121</v>
      </c>
      <c r="F127" s="40">
        <f>'6.1. Інша інфо_1'!J22</f>
        <v>15612</v>
      </c>
      <c r="G127" s="48" t="s">
        <v>148</v>
      </c>
      <c r="H127" s="48" t="s">
        <v>148</v>
      </c>
      <c r="I127" s="48" t="s">
        <v>148</v>
      </c>
      <c r="J127" s="48" t="s">
        <v>148</v>
      </c>
    </row>
    <row r="128" spans="1:10" ht="27.75" customHeight="1">
      <c r="A128" s="37" t="s">
        <v>162</v>
      </c>
      <c r="B128" s="509" t="s">
        <v>238</v>
      </c>
      <c r="C128" s="38">
        <f>'6.1. Інша інфо_1'!D23</f>
        <v>27833</v>
      </c>
      <c r="D128" s="38">
        <f>'6.1. Інша інфо_1'!F23</f>
        <v>33333</v>
      </c>
      <c r="E128" s="38">
        <f>'6.1. Інша інфо_1'!H23</f>
        <v>31750</v>
      </c>
      <c r="F128" s="38">
        <f>'6.1. Інша інфо_1'!J23</f>
        <v>33083</v>
      </c>
      <c r="G128" s="38" t="s">
        <v>148</v>
      </c>
      <c r="H128" s="38" t="s">
        <v>148</v>
      </c>
      <c r="I128" s="38" t="s">
        <v>148</v>
      </c>
      <c r="J128" s="38" t="s">
        <v>148</v>
      </c>
    </row>
    <row r="129" spans="1:10" ht="27.75" customHeight="1">
      <c r="A129" s="37" t="s">
        <v>171</v>
      </c>
      <c r="B129" s="509" t="s">
        <v>239</v>
      </c>
      <c r="C129" s="38">
        <f>'6.1. Інша інфо_1'!D24</f>
        <v>17960</v>
      </c>
      <c r="D129" s="38">
        <f>'6.1. Інша інфо_1'!F24</f>
        <v>23000</v>
      </c>
      <c r="E129" s="38">
        <f>'6.1. Інша інфо_1'!H24</f>
        <v>19896</v>
      </c>
      <c r="F129" s="38">
        <f>'6.1. Інша інфо_1'!J24</f>
        <v>20573</v>
      </c>
      <c r="G129" s="38" t="s">
        <v>148</v>
      </c>
      <c r="H129" s="38" t="s">
        <v>148</v>
      </c>
      <c r="I129" s="38" t="s">
        <v>148</v>
      </c>
      <c r="J129" s="38" t="s">
        <v>148</v>
      </c>
    </row>
    <row r="130" spans="1:10" ht="27.75" customHeight="1">
      <c r="A130" s="37" t="s">
        <v>163</v>
      </c>
      <c r="B130" s="509" t="s">
        <v>240</v>
      </c>
      <c r="C130" s="38">
        <f>'6.1. Інша інфо_1'!D25</f>
        <v>13408</v>
      </c>
      <c r="D130" s="38">
        <f>'6.1. Інша інфо_1'!F25</f>
        <v>16665</v>
      </c>
      <c r="E130" s="38">
        <f>'6.1. Інша інфо_1'!H25</f>
        <v>13921</v>
      </c>
      <c r="F130" s="38">
        <f>'6.1. Інша інфо_1'!J25</f>
        <v>14364</v>
      </c>
      <c r="G130" s="38" t="s">
        <v>148</v>
      </c>
      <c r="H130" s="38" t="s">
        <v>148</v>
      </c>
      <c r="I130" s="38" t="s">
        <v>148</v>
      </c>
      <c r="J130" s="38" t="s">
        <v>148</v>
      </c>
    </row>
    <row r="131" spans="1:10" s="298" customFormat="1">
      <c r="A131" s="334"/>
      <c r="C131" s="93"/>
      <c r="D131" s="335"/>
      <c r="E131" s="335"/>
      <c r="F131" s="335"/>
      <c r="G131" s="60"/>
      <c r="H131" s="60"/>
      <c r="I131" s="60"/>
      <c r="J131" s="60"/>
    </row>
    <row r="132" spans="1:10" s="298" customFormat="1">
      <c r="A132" s="334"/>
      <c r="C132" s="93"/>
      <c r="D132" s="335"/>
      <c r="E132" s="335"/>
      <c r="F132" s="335"/>
      <c r="G132" s="60"/>
      <c r="H132" s="60"/>
      <c r="I132" s="60"/>
      <c r="J132" s="60"/>
    </row>
    <row r="133" spans="1:10" s="318" customFormat="1" ht="28.5" customHeight="1">
      <c r="A133" s="317" t="s">
        <v>525</v>
      </c>
      <c r="B133" s="57"/>
      <c r="C133" s="521" t="s">
        <v>84</v>
      </c>
      <c r="D133" s="522"/>
      <c r="E133" s="522"/>
      <c r="F133" s="522"/>
      <c r="G133" s="251"/>
      <c r="H133" s="523" t="s">
        <v>702</v>
      </c>
      <c r="I133" s="523"/>
      <c r="J133" s="523"/>
    </row>
    <row r="134" spans="1:10" s="247" customFormat="1" ht="18">
      <c r="A134" s="247" t="s">
        <v>68</v>
      </c>
      <c r="B134" s="16"/>
      <c r="C134" s="519" t="s">
        <v>69</v>
      </c>
      <c r="D134" s="519"/>
      <c r="E134" s="519"/>
      <c r="F134" s="519"/>
      <c r="G134" s="336"/>
      <c r="H134" s="520" t="s">
        <v>82</v>
      </c>
      <c r="I134" s="520"/>
      <c r="J134" s="520"/>
    </row>
    <row r="135" spans="1:10" s="298" customFormat="1">
      <c r="A135" s="337"/>
      <c r="F135" s="300"/>
      <c r="G135" s="300"/>
      <c r="H135" s="300"/>
      <c r="I135" s="300"/>
      <c r="J135" s="300"/>
    </row>
    <row r="136" spans="1:10" s="298" customFormat="1">
      <c r="A136" s="337"/>
      <c r="F136" s="300"/>
      <c r="G136" s="300"/>
      <c r="H136" s="300"/>
      <c r="I136" s="300"/>
      <c r="J136" s="300"/>
    </row>
    <row r="137" spans="1:10" s="298" customFormat="1">
      <c r="A137" s="337"/>
      <c r="F137" s="300"/>
      <c r="G137" s="300"/>
      <c r="H137" s="300"/>
      <c r="I137" s="300"/>
      <c r="J137" s="300"/>
    </row>
    <row r="138" spans="1:10" s="298" customFormat="1">
      <c r="A138" s="337"/>
      <c r="F138" s="300"/>
      <c r="G138" s="300"/>
      <c r="H138" s="300"/>
      <c r="I138" s="300"/>
      <c r="J138" s="300"/>
    </row>
    <row r="139" spans="1:10" s="298" customFormat="1">
      <c r="A139" s="337"/>
      <c r="F139" s="300"/>
      <c r="G139" s="300"/>
      <c r="H139" s="300"/>
      <c r="I139" s="300"/>
      <c r="J139" s="300"/>
    </row>
    <row r="140" spans="1:10" s="298" customFormat="1">
      <c r="A140" s="337"/>
      <c r="F140" s="300"/>
      <c r="G140" s="300"/>
      <c r="H140" s="300"/>
      <c r="I140" s="300"/>
      <c r="J140" s="300"/>
    </row>
    <row r="141" spans="1:10" s="298" customFormat="1">
      <c r="A141" s="337"/>
      <c r="F141" s="300"/>
      <c r="G141" s="300"/>
      <c r="H141" s="300"/>
      <c r="I141" s="300"/>
      <c r="J141" s="300"/>
    </row>
    <row r="142" spans="1:10" s="298" customFormat="1">
      <c r="A142" s="337"/>
      <c r="F142" s="300"/>
      <c r="G142" s="300"/>
      <c r="H142" s="300"/>
      <c r="I142" s="300"/>
      <c r="J142" s="300"/>
    </row>
    <row r="143" spans="1:10" s="298" customFormat="1">
      <c r="A143" s="337"/>
      <c r="F143" s="300"/>
      <c r="G143" s="300"/>
      <c r="H143" s="300"/>
      <c r="I143" s="300"/>
      <c r="J143" s="300"/>
    </row>
    <row r="144" spans="1:10" s="298" customFormat="1">
      <c r="A144" s="337"/>
      <c r="F144" s="300"/>
      <c r="G144" s="300"/>
      <c r="H144" s="300"/>
      <c r="I144" s="300"/>
      <c r="J144" s="300"/>
    </row>
    <row r="145" spans="1:10" s="298" customFormat="1">
      <c r="A145" s="337"/>
      <c r="F145" s="300"/>
      <c r="G145" s="300"/>
      <c r="H145" s="300"/>
      <c r="I145" s="300"/>
      <c r="J145" s="300"/>
    </row>
    <row r="146" spans="1:10" s="298" customFormat="1">
      <c r="A146" s="337"/>
      <c r="F146" s="300"/>
      <c r="G146" s="300"/>
      <c r="H146" s="300"/>
      <c r="I146" s="300"/>
      <c r="J146" s="300"/>
    </row>
    <row r="147" spans="1:10" s="298" customFormat="1">
      <c r="A147" s="337"/>
      <c r="F147" s="300"/>
      <c r="G147" s="300"/>
      <c r="H147" s="300"/>
      <c r="I147" s="300"/>
      <c r="J147" s="300"/>
    </row>
    <row r="148" spans="1:10" s="298" customFormat="1">
      <c r="A148" s="337"/>
      <c r="F148" s="300"/>
      <c r="G148" s="300"/>
      <c r="H148" s="300"/>
      <c r="I148" s="300"/>
      <c r="J148" s="300"/>
    </row>
    <row r="149" spans="1:10" s="298" customFormat="1">
      <c r="A149" s="337"/>
      <c r="F149" s="300"/>
      <c r="G149" s="300"/>
      <c r="H149" s="300"/>
      <c r="I149" s="300"/>
      <c r="J149" s="300"/>
    </row>
    <row r="150" spans="1:10" s="298" customFormat="1">
      <c r="A150" s="337"/>
      <c r="F150" s="300"/>
      <c r="G150" s="300"/>
      <c r="H150" s="300"/>
      <c r="I150" s="300"/>
      <c r="J150" s="300"/>
    </row>
    <row r="151" spans="1:10" s="298" customFormat="1">
      <c r="A151" s="337"/>
      <c r="F151" s="300"/>
      <c r="G151" s="300"/>
      <c r="H151" s="300"/>
      <c r="I151" s="300"/>
      <c r="J151" s="300"/>
    </row>
    <row r="152" spans="1:10" s="298" customFormat="1">
      <c r="A152" s="337"/>
      <c r="F152" s="300"/>
      <c r="G152" s="300"/>
      <c r="H152" s="300"/>
      <c r="I152" s="300"/>
      <c r="J152" s="300"/>
    </row>
    <row r="153" spans="1:10" s="298" customFormat="1">
      <c r="A153" s="337"/>
      <c r="F153" s="300"/>
      <c r="G153" s="300"/>
      <c r="H153" s="300"/>
      <c r="I153" s="300"/>
      <c r="J153" s="300"/>
    </row>
    <row r="154" spans="1:10" s="298" customFormat="1">
      <c r="A154" s="337"/>
      <c r="F154" s="300"/>
      <c r="G154" s="300"/>
      <c r="H154" s="300"/>
      <c r="I154" s="300"/>
      <c r="J154" s="300"/>
    </row>
    <row r="155" spans="1:10" s="298" customFormat="1">
      <c r="A155" s="337"/>
      <c r="F155" s="300"/>
      <c r="G155" s="300"/>
      <c r="H155" s="300"/>
      <c r="I155" s="300"/>
      <c r="J155" s="300"/>
    </row>
    <row r="156" spans="1:10" s="298" customFormat="1">
      <c r="A156" s="337"/>
      <c r="F156" s="300"/>
      <c r="G156" s="300"/>
      <c r="H156" s="300"/>
      <c r="I156" s="300"/>
      <c r="J156" s="300"/>
    </row>
    <row r="157" spans="1:10" s="298" customFormat="1">
      <c r="A157" s="337"/>
      <c r="F157" s="300"/>
      <c r="G157" s="300"/>
      <c r="H157" s="300"/>
      <c r="I157" s="300"/>
      <c r="J157" s="300"/>
    </row>
    <row r="158" spans="1:10" s="298" customFormat="1">
      <c r="A158" s="337"/>
      <c r="F158" s="300"/>
      <c r="G158" s="300"/>
      <c r="H158" s="300"/>
      <c r="I158" s="300"/>
      <c r="J158" s="300"/>
    </row>
    <row r="159" spans="1:10" s="298" customFormat="1">
      <c r="A159" s="337"/>
      <c r="F159" s="300"/>
      <c r="G159" s="300"/>
      <c r="H159" s="300"/>
      <c r="I159" s="300"/>
      <c r="J159" s="300"/>
    </row>
    <row r="160" spans="1:10" s="298" customFormat="1">
      <c r="A160" s="337"/>
      <c r="F160" s="300"/>
      <c r="G160" s="300"/>
      <c r="H160" s="300"/>
      <c r="I160" s="300"/>
      <c r="J160" s="300"/>
    </row>
    <row r="161" spans="1:10" s="298" customFormat="1">
      <c r="A161" s="337"/>
      <c r="F161" s="300"/>
      <c r="G161" s="300"/>
      <c r="H161" s="300"/>
      <c r="I161" s="300"/>
      <c r="J161" s="300"/>
    </row>
    <row r="162" spans="1:10" s="298" customFormat="1">
      <c r="A162" s="337"/>
      <c r="F162" s="300"/>
      <c r="G162" s="300"/>
      <c r="H162" s="300"/>
      <c r="I162" s="300"/>
      <c r="J162" s="300"/>
    </row>
    <row r="163" spans="1:10" s="298" customFormat="1">
      <c r="A163" s="337"/>
      <c r="F163" s="300"/>
      <c r="G163" s="300"/>
      <c r="H163" s="300"/>
      <c r="I163" s="300"/>
      <c r="J163" s="300"/>
    </row>
    <row r="164" spans="1:10" s="298" customFormat="1">
      <c r="A164" s="337"/>
      <c r="F164" s="300"/>
      <c r="G164" s="300"/>
      <c r="H164" s="300"/>
      <c r="I164" s="300"/>
      <c r="J164" s="300"/>
    </row>
    <row r="165" spans="1:10" s="298" customFormat="1">
      <c r="A165" s="337"/>
      <c r="F165" s="300"/>
      <c r="G165" s="300"/>
      <c r="H165" s="300"/>
      <c r="I165" s="300"/>
      <c r="J165" s="300"/>
    </row>
    <row r="166" spans="1:10" s="298" customFormat="1">
      <c r="A166" s="337"/>
      <c r="F166" s="300"/>
      <c r="G166" s="300"/>
      <c r="H166" s="300"/>
      <c r="I166" s="300"/>
      <c r="J166" s="300"/>
    </row>
    <row r="167" spans="1:10" s="298" customFormat="1">
      <c r="A167" s="337"/>
      <c r="F167" s="300"/>
      <c r="G167" s="300"/>
      <c r="H167" s="300"/>
      <c r="I167" s="300"/>
      <c r="J167" s="300"/>
    </row>
    <row r="168" spans="1:10" s="298" customFormat="1">
      <c r="A168" s="337"/>
      <c r="F168" s="300"/>
      <c r="G168" s="300"/>
      <c r="H168" s="300"/>
      <c r="I168" s="300"/>
      <c r="J168" s="300"/>
    </row>
    <row r="169" spans="1:10" s="298" customFormat="1">
      <c r="A169" s="337"/>
      <c r="F169" s="300"/>
      <c r="G169" s="300"/>
      <c r="H169" s="300"/>
      <c r="I169" s="300"/>
      <c r="J169" s="300"/>
    </row>
    <row r="170" spans="1:10" s="298" customFormat="1">
      <c r="A170" s="337"/>
      <c r="F170" s="300"/>
      <c r="G170" s="300"/>
      <c r="H170" s="300"/>
      <c r="I170" s="300"/>
      <c r="J170" s="300"/>
    </row>
    <row r="171" spans="1:10" s="298" customFormat="1">
      <c r="A171" s="337"/>
      <c r="F171" s="300"/>
      <c r="G171" s="300"/>
      <c r="H171" s="300"/>
      <c r="I171" s="300"/>
      <c r="J171" s="300"/>
    </row>
    <row r="172" spans="1:10" s="298" customFormat="1">
      <c r="A172" s="337"/>
      <c r="F172" s="300"/>
      <c r="G172" s="300"/>
      <c r="H172" s="300"/>
      <c r="I172" s="300"/>
      <c r="J172" s="300"/>
    </row>
    <row r="173" spans="1:10" s="298" customFormat="1">
      <c r="A173" s="337"/>
      <c r="F173" s="300"/>
      <c r="G173" s="300"/>
      <c r="H173" s="300"/>
      <c r="I173" s="300"/>
      <c r="J173" s="300"/>
    </row>
    <row r="174" spans="1:10" s="298" customFormat="1">
      <c r="A174" s="337"/>
      <c r="F174" s="300"/>
      <c r="G174" s="300"/>
      <c r="H174" s="300"/>
      <c r="I174" s="300"/>
      <c r="J174" s="300"/>
    </row>
    <row r="175" spans="1:10" s="298" customFormat="1">
      <c r="A175" s="337"/>
      <c r="F175" s="300"/>
      <c r="G175" s="300"/>
      <c r="H175" s="300"/>
      <c r="I175" s="300"/>
      <c r="J175" s="300"/>
    </row>
    <row r="176" spans="1:10" s="298" customFormat="1">
      <c r="A176" s="337"/>
      <c r="F176" s="300"/>
      <c r="G176" s="300"/>
      <c r="H176" s="300"/>
      <c r="I176" s="300"/>
      <c r="J176" s="300"/>
    </row>
    <row r="177" spans="1:10" s="298" customFormat="1">
      <c r="A177" s="337"/>
      <c r="F177" s="300"/>
      <c r="G177" s="300"/>
      <c r="H177" s="300"/>
      <c r="I177" s="300"/>
      <c r="J177" s="300"/>
    </row>
    <row r="178" spans="1:10" s="298" customFormat="1">
      <c r="A178" s="337"/>
      <c r="F178" s="300"/>
      <c r="G178" s="300"/>
      <c r="H178" s="300"/>
      <c r="I178" s="300"/>
      <c r="J178" s="300"/>
    </row>
    <row r="179" spans="1:10" s="298" customFormat="1">
      <c r="A179" s="337"/>
      <c r="F179" s="300"/>
      <c r="G179" s="300"/>
      <c r="H179" s="300"/>
      <c r="I179" s="300"/>
      <c r="J179" s="300"/>
    </row>
    <row r="180" spans="1:10" s="298" customFormat="1">
      <c r="A180" s="337"/>
      <c r="F180" s="300"/>
      <c r="G180" s="300"/>
      <c r="H180" s="300"/>
      <c r="I180" s="300"/>
      <c r="J180" s="300"/>
    </row>
    <row r="181" spans="1:10" s="298" customFormat="1">
      <c r="A181" s="337"/>
      <c r="F181" s="300"/>
      <c r="G181" s="300"/>
      <c r="H181" s="300"/>
      <c r="I181" s="300"/>
      <c r="J181" s="300"/>
    </row>
    <row r="182" spans="1:10" s="298" customFormat="1">
      <c r="A182" s="337"/>
      <c r="F182" s="300"/>
      <c r="G182" s="300"/>
      <c r="H182" s="300"/>
      <c r="I182" s="300"/>
      <c r="J182" s="300"/>
    </row>
    <row r="183" spans="1:10" s="298" customFormat="1">
      <c r="A183" s="337"/>
      <c r="F183" s="300"/>
      <c r="G183" s="300"/>
      <c r="H183" s="300"/>
      <c r="I183" s="300"/>
      <c r="J183" s="300"/>
    </row>
    <row r="184" spans="1:10" s="298" customFormat="1">
      <c r="A184" s="337"/>
      <c r="F184" s="300"/>
      <c r="G184" s="300"/>
      <c r="H184" s="300"/>
      <c r="I184" s="300"/>
      <c r="J184" s="300"/>
    </row>
    <row r="185" spans="1:10" s="298" customFormat="1">
      <c r="A185" s="337"/>
      <c r="F185" s="300"/>
      <c r="G185" s="300"/>
      <c r="H185" s="300"/>
      <c r="I185" s="300"/>
      <c r="J185" s="300"/>
    </row>
    <row r="186" spans="1:10" s="298" customFormat="1">
      <c r="A186" s="337"/>
      <c r="F186" s="300"/>
      <c r="G186" s="300"/>
      <c r="H186" s="300"/>
      <c r="I186" s="300"/>
      <c r="J186" s="300"/>
    </row>
    <row r="187" spans="1:10" s="298" customFormat="1">
      <c r="A187" s="337"/>
      <c r="F187" s="300"/>
      <c r="G187" s="300"/>
      <c r="H187" s="300"/>
      <c r="I187" s="300"/>
      <c r="J187" s="300"/>
    </row>
    <row r="188" spans="1:10" s="298" customFormat="1">
      <c r="A188" s="337"/>
      <c r="F188" s="300"/>
      <c r="G188" s="300"/>
      <c r="H188" s="300"/>
      <c r="I188" s="300"/>
      <c r="J188" s="300"/>
    </row>
    <row r="189" spans="1:10" s="298" customFormat="1">
      <c r="A189" s="337"/>
      <c r="F189" s="300"/>
      <c r="G189" s="300"/>
      <c r="H189" s="300"/>
      <c r="I189" s="300"/>
      <c r="J189" s="300"/>
    </row>
    <row r="190" spans="1:10" s="298" customFormat="1">
      <c r="A190" s="337"/>
      <c r="F190" s="300"/>
      <c r="G190" s="300"/>
      <c r="H190" s="300"/>
      <c r="I190" s="300"/>
      <c r="J190" s="300"/>
    </row>
    <row r="191" spans="1:10" s="298" customFormat="1">
      <c r="A191" s="337"/>
      <c r="F191" s="300"/>
      <c r="G191" s="300"/>
      <c r="H191" s="300"/>
      <c r="I191" s="300"/>
      <c r="J191" s="300"/>
    </row>
    <row r="192" spans="1:10" s="298" customFormat="1">
      <c r="A192" s="337"/>
      <c r="F192" s="300"/>
      <c r="G192" s="300"/>
      <c r="H192" s="300"/>
      <c r="I192" s="300"/>
      <c r="J192" s="300"/>
    </row>
    <row r="193" spans="1:10" s="298" customFormat="1">
      <c r="A193" s="337"/>
      <c r="F193" s="300"/>
      <c r="G193" s="300"/>
      <c r="H193" s="300"/>
      <c r="I193" s="300"/>
      <c r="J193" s="300"/>
    </row>
    <row r="194" spans="1:10" s="298" customFormat="1">
      <c r="A194" s="337"/>
      <c r="F194" s="300"/>
      <c r="G194" s="300"/>
      <c r="H194" s="300"/>
      <c r="I194" s="300"/>
      <c r="J194" s="300"/>
    </row>
    <row r="195" spans="1:10" s="298" customFormat="1">
      <c r="A195" s="337"/>
      <c r="F195" s="300"/>
      <c r="G195" s="300"/>
      <c r="H195" s="300"/>
      <c r="I195" s="300"/>
      <c r="J195" s="300"/>
    </row>
    <row r="196" spans="1:10" s="298" customFormat="1">
      <c r="A196" s="337"/>
      <c r="F196" s="300"/>
      <c r="G196" s="300"/>
      <c r="H196" s="300"/>
      <c r="I196" s="300"/>
      <c r="J196" s="300"/>
    </row>
    <row r="197" spans="1:10" s="298" customFormat="1">
      <c r="A197" s="337"/>
      <c r="F197" s="300"/>
      <c r="G197" s="300"/>
      <c r="H197" s="300"/>
      <c r="I197" s="300"/>
      <c r="J197" s="300"/>
    </row>
    <row r="198" spans="1:10" s="298" customFormat="1">
      <c r="A198" s="337"/>
      <c r="F198" s="300"/>
      <c r="G198" s="300"/>
      <c r="H198" s="300"/>
      <c r="I198" s="300"/>
      <c r="J198" s="300"/>
    </row>
    <row r="199" spans="1:10" s="298" customFormat="1">
      <c r="A199" s="337"/>
      <c r="F199" s="300"/>
      <c r="G199" s="300"/>
      <c r="H199" s="300"/>
      <c r="I199" s="300"/>
      <c r="J199" s="300"/>
    </row>
    <row r="200" spans="1:10" s="298" customFormat="1">
      <c r="A200" s="337"/>
      <c r="F200" s="300"/>
      <c r="G200" s="300"/>
      <c r="H200" s="300"/>
      <c r="I200" s="300"/>
      <c r="J200" s="300"/>
    </row>
    <row r="201" spans="1:10" s="298" customFormat="1">
      <c r="A201" s="337"/>
      <c r="F201" s="300"/>
      <c r="G201" s="300"/>
      <c r="H201" s="300"/>
      <c r="I201" s="300"/>
      <c r="J201" s="300"/>
    </row>
    <row r="202" spans="1:10" s="298" customFormat="1">
      <c r="A202" s="337"/>
      <c r="F202" s="300"/>
      <c r="G202" s="300"/>
      <c r="H202" s="300"/>
      <c r="I202" s="300"/>
      <c r="J202" s="300"/>
    </row>
    <row r="203" spans="1:10" s="298" customFormat="1">
      <c r="A203" s="337"/>
      <c r="F203" s="300"/>
      <c r="G203" s="300"/>
      <c r="H203" s="300"/>
      <c r="I203" s="300"/>
      <c r="J203" s="300"/>
    </row>
    <row r="204" spans="1:10" s="298" customFormat="1">
      <c r="A204" s="337"/>
      <c r="F204" s="300"/>
      <c r="G204" s="300"/>
      <c r="H204" s="300"/>
      <c r="I204" s="300"/>
      <c r="J204" s="300"/>
    </row>
    <row r="205" spans="1:10" s="298" customFormat="1">
      <c r="A205" s="337"/>
      <c r="F205" s="300"/>
      <c r="G205" s="300"/>
      <c r="H205" s="300"/>
      <c r="I205" s="300"/>
      <c r="J205" s="300"/>
    </row>
    <row r="206" spans="1:10" s="298" customFormat="1">
      <c r="A206" s="337"/>
      <c r="F206" s="300"/>
      <c r="G206" s="300"/>
      <c r="H206" s="300"/>
      <c r="I206" s="300"/>
      <c r="J206" s="300"/>
    </row>
    <row r="207" spans="1:10" s="298" customFormat="1">
      <c r="A207" s="337"/>
      <c r="F207" s="300"/>
      <c r="G207" s="300"/>
      <c r="H207" s="300"/>
      <c r="I207" s="300"/>
      <c r="J207" s="300"/>
    </row>
    <row r="208" spans="1:10" s="298" customFormat="1">
      <c r="A208" s="337"/>
      <c r="F208" s="300"/>
      <c r="G208" s="300"/>
      <c r="H208" s="300"/>
      <c r="I208" s="300"/>
      <c r="J208" s="300"/>
    </row>
    <row r="209" spans="1:10" s="298" customFormat="1">
      <c r="A209" s="337"/>
      <c r="F209" s="300"/>
      <c r="G209" s="300"/>
      <c r="H209" s="300"/>
      <c r="I209" s="300"/>
      <c r="J209" s="300"/>
    </row>
    <row r="210" spans="1:10" s="298" customFormat="1">
      <c r="A210" s="337"/>
      <c r="F210" s="300"/>
      <c r="G210" s="300"/>
      <c r="H210" s="300"/>
      <c r="I210" s="300"/>
      <c r="J210" s="300"/>
    </row>
    <row r="211" spans="1:10" s="298" customFormat="1">
      <c r="A211" s="337"/>
      <c r="F211" s="300"/>
      <c r="G211" s="300"/>
      <c r="H211" s="300"/>
      <c r="I211" s="300"/>
      <c r="J211" s="300"/>
    </row>
    <row r="212" spans="1:10" s="298" customFormat="1">
      <c r="A212" s="337"/>
      <c r="F212" s="300"/>
      <c r="G212" s="300"/>
      <c r="H212" s="300"/>
      <c r="I212" s="300"/>
      <c r="J212" s="300"/>
    </row>
    <row r="213" spans="1:10" s="298" customFormat="1">
      <c r="A213" s="337"/>
      <c r="F213" s="300"/>
      <c r="G213" s="300"/>
      <c r="H213" s="300"/>
      <c r="I213" s="300"/>
      <c r="J213" s="300"/>
    </row>
    <row r="214" spans="1:10" s="298" customFormat="1">
      <c r="A214" s="337"/>
      <c r="F214" s="300"/>
      <c r="G214" s="300"/>
      <c r="H214" s="300"/>
      <c r="I214" s="300"/>
      <c r="J214" s="300"/>
    </row>
    <row r="215" spans="1:10" s="298" customFormat="1">
      <c r="A215" s="337"/>
      <c r="F215" s="300"/>
      <c r="G215" s="300"/>
      <c r="H215" s="300"/>
      <c r="I215" s="300"/>
      <c r="J215" s="300"/>
    </row>
    <row r="216" spans="1:10" s="298" customFormat="1">
      <c r="A216" s="337"/>
      <c r="F216" s="300"/>
      <c r="G216" s="300"/>
      <c r="H216" s="300"/>
      <c r="I216" s="300"/>
      <c r="J216" s="300"/>
    </row>
    <row r="217" spans="1:10" s="298" customFormat="1">
      <c r="A217" s="337"/>
      <c r="F217" s="300"/>
      <c r="G217" s="300"/>
      <c r="H217" s="300"/>
      <c r="I217" s="300"/>
      <c r="J217" s="300"/>
    </row>
    <row r="218" spans="1:10" s="298" customFormat="1">
      <c r="A218" s="337"/>
      <c r="F218" s="300"/>
      <c r="G218" s="300"/>
      <c r="H218" s="300"/>
      <c r="I218" s="300"/>
      <c r="J218" s="300"/>
    </row>
    <row r="219" spans="1:10" s="298" customFormat="1">
      <c r="A219" s="337"/>
      <c r="F219" s="300"/>
      <c r="G219" s="300"/>
      <c r="H219" s="300"/>
      <c r="I219" s="300"/>
      <c r="J219" s="300"/>
    </row>
    <row r="220" spans="1:10" s="298" customFormat="1">
      <c r="A220" s="337"/>
      <c r="F220" s="300"/>
      <c r="G220" s="300"/>
      <c r="H220" s="300"/>
      <c r="I220" s="300"/>
      <c r="J220" s="300"/>
    </row>
    <row r="221" spans="1:10" s="298" customFormat="1">
      <c r="A221" s="337"/>
      <c r="F221" s="300"/>
      <c r="G221" s="300"/>
      <c r="H221" s="300"/>
      <c r="I221" s="300"/>
      <c r="J221" s="300"/>
    </row>
    <row r="222" spans="1:10" s="298" customFormat="1">
      <c r="A222" s="337"/>
      <c r="F222" s="300"/>
      <c r="G222" s="300"/>
      <c r="H222" s="300"/>
      <c r="I222" s="300"/>
      <c r="J222" s="300"/>
    </row>
    <row r="223" spans="1:10" s="298" customFormat="1">
      <c r="A223" s="337"/>
      <c r="F223" s="300"/>
      <c r="G223" s="300"/>
      <c r="H223" s="300"/>
      <c r="I223" s="300"/>
      <c r="J223" s="300"/>
    </row>
    <row r="224" spans="1:10" s="298" customFormat="1">
      <c r="A224" s="337"/>
      <c r="F224" s="300"/>
      <c r="G224" s="300"/>
      <c r="H224" s="300"/>
      <c r="I224" s="300"/>
      <c r="J224" s="300"/>
    </row>
    <row r="225" spans="1:10" s="298" customFormat="1">
      <c r="A225" s="337"/>
      <c r="F225" s="300"/>
      <c r="G225" s="300"/>
      <c r="H225" s="300"/>
      <c r="I225" s="300"/>
      <c r="J225" s="300"/>
    </row>
    <row r="226" spans="1:10" s="298" customFormat="1">
      <c r="A226" s="337"/>
      <c r="F226" s="300"/>
      <c r="G226" s="300"/>
      <c r="H226" s="300"/>
      <c r="I226" s="300"/>
      <c r="J226" s="300"/>
    </row>
    <row r="227" spans="1:10" s="298" customFormat="1">
      <c r="A227" s="337"/>
      <c r="F227" s="300"/>
      <c r="G227" s="300"/>
      <c r="H227" s="300"/>
      <c r="I227" s="300"/>
      <c r="J227" s="300"/>
    </row>
    <row r="228" spans="1:10" s="298" customFormat="1">
      <c r="A228" s="337"/>
      <c r="F228" s="300"/>
      <c r="G228" s="300"/>
      <c r="H228" s="300"/>
      <c r="I228" s="300"/>
      <c r="J228" s="300"/>
    </row>
    <row r="229" spans="1:10" s="298" customFormat="1">
      <c r="A229" s="337"/>
      <c r="F229" s="300"/>
      <c r="G229" s="300"/>
      <c r="H229" s="300"/>
      <c r="I229" s="300"/>
      <c r="J229" s="300"/>
    </row>
    <row r="230" spans="1:10" s="298" customFormat="1">
      <c r="A230" s="337"/>
      <c r="F230" s="300"/>
      <c r="G230" s="300"/>
      <c r="H230" s="300"/>
      <c r="I230" s="300"/>
      <c r="J230" s="300"/>
    </row>
    <row r="231" spans="1:10" s="298" customFormat="1">
      <c r="A231" s="337"/>
      <c r="F231" s="300"/>
      <c r="G231" s="300"/>
      <c r="H231" s="300"/>
      <c r="I231" s="300"/>
      <c r="J231" s="300"/>
    </row>
    <row r="232" spans="1:10" s="298" customFormat="1">
      <c r="A232" s="337"/>
      <c r="F232" s="300"/>
      <c r="G232" s="300"/>
      <c r="H232" s="300"/>
      <c r="I232" s="300"/>
      <c r="J232" s="300"/>
    </row>
    <row r="233" spans="1:10" s="298" customFormat="1">
      <c r="A233" s="337"/>
      <c r="F233" s="300"/>
      <c r="G233" s="300"/>
      <c r="H233" s="300"/>
      <c r="I233" s="300"/>
      <c r="J233" s="300"/>
    </row>
    <row r="234" spans="1:10" s="298" customFormat="1">
      <c r="A234" s="337"/>
      <c r="F234" s="300"/>
      <c r="G234" s="300"/>
      <c r="H234" s="300"/>
      <c r="I234" s="300"/>
      <c r="J234" s="300"/>
    </row>
    <row r="235" spans="1:10" s="298" customFormat="1">
      <c r="A235" s="337"/>
      <c r="F235" s="300"/>
      <c r="G235" s="300"/>
      <c r="H235" s="300"/>
      <c r="I235" s="300"/>
      <c r="J235" s="300"/>
    </row>
    <row r="236" spans="1:10" s="298" customFormat="1">
      <c r="A236" s="337"/>
      <c r="F236" s="300"/>
      <c r="G236" s="300"/>
      <c r="H236" s="300"/>
      <c r="I236" s="300"/>
      <c r="J236" s="300"/>
    </row>
    <row r="237" spans="1:10" s="298" customFormat="1">
      <c r="A237" s="337"/>
      <c r="F237" s="300"/>
      <c r="G237" s="300"/>
      <c r="H237" s="300"/>
      <c r="I237" s="300"/>
      <c r="J237" s="300"/>
    </row>
    <row r="238" spans="1:10" s="298" customFormat="1">
      <c r="A238" s="337"/>
      <c r="F238" s="300"/>
      <c r="G238" s="300"/>
      <c r="H238" s="300"/>
      <c r="I238" s="300"/>
      <c r="J238" s="300"/>
    </row>
    <row r="239" spans="1:10" s="298" customFormat="1">
      <c r="A239" s="337"/>
      <c r="F239" s="300"/>
      <c r="G239" s="300"/>
      <c r="H239" s="300"/>
      <c r="I239" s="300"/>
      <c r="J239" s="300"/>
    </row>
    <row r="240" spans="1:10" s="298" customFormat="1">
      <c r="A240" s="337"/>
      <c r="F240" s="300"/>
      <c r="G240" s="300"/>
      <c r="H240" s="300"/>
      <c r="I240" s="300"/>
      <c r="J240" s="300"/>
    </row>
    <row r="241" spans="1:10" s="298" customFormat="1">
      <c r="A241" s="337"/>
      <c r="F241" s="300"/>
      <c r="G241" s="300"/>
      <c r="H241" s="300"/>
      <c r="I241" s="300"/>
      <c r="J241" s="300"/>
    </row>
    <row r="242" spans="1:10" s="298" customFormat="1">
      <c r="A242" s="337"/>
      <c r="F242" s="300"/>
      <c r="G242" s="300"/>
      <c r="H242" s="300"/>
      <c r="I242" s="300"/>
      <c r="J242" s="300"/>
    </row>
    <row r="243" spans="1:10" s="298" customFormat="1">
      <c r="A243" s="337"/>
      <c r="F243" s="300"/>
      <c r="G243" s="300"/>
      <c r="H243" s="300"/>
      <c r="I243" s="300"/>
      <c r="J243" s="300"/>
    </row>
    <row r="244" spans="1:10" s="298" customFormat="1">
      <c r="A244" s="337"/>
      <c r="F244" s="300"/>
      <c r="G244" s="300"/>
      <c r="H244" s="300"/>
      <c r="I244" s="300"/>
      <c r="J244" s="300"/>
    </row>
    <row r="245" spans="1:10" s="298" customFormat="1">
      <c r="A245" s="337"/>
      <c r="F245" s="300"/>
      <c r="G245" s="300"/>
      <c r="H245" s="300"/>
      <c r="I245" s="300"/>
      <c r="J245" s="300"/>
    </row>
    <row r="246" spans="1:10" s="298" customFormat="1">
      <c r="A246" s="337"/>
      <c r="F246" s="300"/>
      <c r="G246" s="300"/>
      <c r="H246" s="300"/>
      <c r="I246" s="300"/>
      <c r="J246" s="300"/>
    </row>
    <row r="247" spans="1:10" s="298" customFormat="1">
      <c r="A247" s="337"/>
      <c r="F247" s="300"/>
      <c r="G247" s="300"/>
      <c r="H247" s="300"/>
      <c r="I247" s="300"/>
      <c r="J247" s="300"/>
    </row>
    <row r="248" spans="1:10" s="298" customFormat="1">
      <c r="A248" s="337"/>
      <c r="F248" s="300"/>
      <c r="G248" s="300"/>
      <c r="H248" s="300"/>
      <c r="I248" s="300"/>
      <c r="J248" s="300"/>
    </row>
    <row r="249" spans="1:10" s="298" customFormat="1">
      <c r="A249" s="337"/>
      <c r="F249" s="300"/>
      <c r="G249" s="300"/>
      <c r="H249" s="300"/>
      <c r="I249" s="300"/>
      <c r="J249" s="300"/>
    </row>
    <row r="250" spans="1:10" s="298" customFormat="1">
      <c r="A250" s="337"/>
      <c r="F250" s="300"/>
      <c r="G250" s="300"/>
      <c r="H250" s="300"/>
      <c r="I250" s="300"/>
      <c r="J250" s="300"/>
    </row>
    <row r="251" spans="1:10" s="298" customFormat="1">
      <c r="A251" s="337"/>
      <c r="F251" s="300"/>
      <c r="G251" s="300"/>
      <c r="H251" s="300"/>
      <c r="I251" s="300"/>
      <c r="J251" s="300"/>
    </row>
    <row r="252" spans="1:10" s="298" customFormat="1">
      <c r="A252" s="337"/>
      <c r="F252" s="300"/>
      <c r="G252" s="300"/>
      <c r="H252" s="300"/>
      <c r="I252" s="300"/>
      <c r="J252" s="300"/>
    </row>
    <row r="253" spans="1:10" s="298" customFormat="1">
      <c r="A253" s="337"/>
      <c r="F253" s="300"/>
      <c r="G253" s="300"/>
      <c r="H253" s="300"/>
      <c r="I253" s="300"/>
      <c r="J253" s="300"/>
    </row>
    <row r="254" spans="1:10" s="298" customFormat="1">
      <c r="A254" s="337"/>
      <c r="F254" s="300"/>
      <c r="G254" s="300"/>
      <c r="H254" s="300"/>
      <c r="I254" s="300"/>
      <c r="J254" s="300"/>
    </row>
    <row r="255" spans="1:10" s="298" customFormat="1">
      <c r="A255" s="337"/>
      <c r="F255" s="300"/>
      <c r="G255" s="300"/>
      <c r="H255" s="300"/>
      <c r="I255" s="300"/>
      <c r="J255" s="300"/>
    </row>
    <row r="256" spans="1:10" s="298" customFormat="1">
      <c r="A256" s="337"/>
      <c r="F256" s="300"/>
      <c r="G256" s="300"/>
      <c r="H256" s="300"/>
      <c r="I256" s="300"/>
      <c r="J256" s="300"/>
    </row>
    <row r="257" spans="1:10" s="298" customFormat="1">
      <c r="A257" s="337"/>
      <c r="F257" s="300"/>
      <c r="G257" s="300"/>
      <c r="H257" s="300"/>
      <c r="I257" s="300"/>
      <c r="J257" s="300"/>
    </row>
    <row r="258" spans="1:10" s="298" customFormat="1">
      <c r="A258" s="337"/>
      <c r="F258" s="300"/>
      <c r="G258" s="300"/>
      <c r="H258" s="300"/>
      <c r="I258" s="300"/>
      <c r="J258" s="300"/>
    </row>
    <row r="259" spans="1:10" s="298" customFormat="1">
      <c r="A259" s="337"/>
      <c r="F259" s="300"/>
      <c r="G259" s="300"/>
      <c r="H259" s="300"/>
      <c r="I259" s="300"/>
      <c r="J259" s="300"/>
    </row>
    <row r="260" spans="1:10" s="298" customFormat="1">
      <c r="A260" s="337"/>
      <c r="F260" s="300"/>
      <c r="G260" s="300"/>
      <c r="H260" s="300"/>
      <c r="I260" s="300"/>
      <c r="J260" s="300"/>
    </row>
    <row r="261" spans="1:10" s="298" customFormat="1">
      <c r="A261" s="337"/>
      <c r="F261" s="300"/>
      <c r="G261" s="300"/>
      <c r="H261" s="300"/>
      <c r="I261" s="300"/>
      <c r="J261" s="300"/>
    </row>
    <row r="262" spans="1:10" s="298" customFormat="1">
      <c r="A262" s="337"/>
      <c r="F262" s="300"/>
      <c r="G262" s="300"/>
      <c r="H262" s="300"/>
      <c r="I262" s="300"/>
      <c r="J262" s="300"/>
    </row>
    <row r="263" spans="1:10" s="298" customFormat="1">
      <c r="A263" s="337"/>
      <c r="F263" s="300"/>
      <c r="G263" s="300"/>
      <c r="H263" s="300"/>
      <c r="I263" s="300"/>
      <c r="J263" s="300"/>
    </row>
    <row r="264" spans="1:10" s="298" customFormat="1">
      <c r="A264" s="337"/>
      <c r="F264" s="300"/>
      <c r="G264" s="300"/>
      <c r="H264" s="300"/>
      <c r="I264" s="300"/>
      <c r="J264" s="300"/>
    </row>
    <row r="265" spans="1:10" s="298" customFormat="1">
      <c r="A265" s="337"/>
      <c r="F265" s="300"/>
      <c r="G265" s="300"/>
      <c r="H265" s="300"/>
      <c r="I265" s="300"/>
      <c r="J265" s="300"/>
    </row>
    <row r="266" spans="1:10" s="298" customFormat="1">
      <c r="A266" s="337"/>
      <c r="F266" s="300"/>
      <c r="G266" s="300"/>
      <c r="H266" s="300"/>
      <c r="I266" s="300"/>
      <c r="J266" s="300"/>
    </row>
    <row r="267" spans="1:10" s="298" customFormat="1">
      <c r="A267" s="337"/>
      <c r="F267" s="300"/>
      <c r="G267" s="300"/>
      <c r="H267" s="300"/>
      <c r="I267" s="300"/>
      <c r="J267" s="300"/>
    </row>
    <row r="268" spans="1:10" s="298" customFormat="1">
      <c r="A268" s="337"/>
      <c r="F268" s="300"/>
      <c r="G268" s="300"/>
      <c r="H268" s="300"/>
      <c r="I268" s="300"/>
      <c r="J268" s="300"/>
    </row>
    <row r="269" spans="1:10" s="298" customFormat="1">
      <c r="A269" s="337"/>
      <c r="F269" s="300"/>
      <c r="G269" s="300"/>
      <c r="H269" s="300"/>
      <c r="I269" s="300"/>
      <c r="J269" s="300"/>
    </row>
    <row r="270" spans="1:10" s="298" customFormat="1">
      <c r="A270" s="337"/>
      <c r="F270" s="300"/>
      <c r="G270" s="300"/>
      <c r="H270" s="300"/>
      <c r="I270" s="300"/>
      <c r="J270" s="300"/>
    </row>
    <row r="271" spans="1:10" s="298" customFormat="1">
      <c r="A271" s="337"/>
      <c r="F271" s="300"/>
      <c r="G271" s="300"/>
      <c r="H271" s="300"/>
      <c r="I271" s="300"/>
      <c r="J271" s="300"/>
    </row>
    <row r="272" spans="1:10" s="298" customFormat="1">
      <c r="A272" s="337"/>
      <c r="F272" s="300"/>
      <c r="G272" s="300"/>
      <c r="H272" s="300"/>
      <c r="I272" s="300"/>
      <c r="J272" s="300"/>
    </row>
    <row r="273" spans="1:10" s="298" customFormat="1">
      <c r="A273" s="337"/>
      <c r="F273" s="300"/>
      <c r="G273" s="300"/>
      <c r="H273" s="300"/>
      <c r="I273" s="300"/>
      <c r="J273" s="300"/>
    </row>
    <row r="274" spans="1:10" s="298" customFormat="1">
      <c r="A274" s="337"/>
      <c r="F274" s="300"/>
      <c r="G274" s="300"/>
      <c r="H274" s="300"/>
      <c r="I274" s="300"/>
      <c r="J274" s="300"/>
    </row>
    <row r="275" spans="1:10" s="298" customFormat="1">
      <c r="A275" s="337"/>
      <c r="F275" s="300"/>
      <c r="G275" s="300"/>
      <c r="H275" s="300"/>
      <c r="I275" s="300"/>
      <c r="J275" s="300"/>
    </row>
    <row r="276" spans="1:10" s="298" customFormat="1">
      <c r="A276" s="337"/>
      <c r="F276" s="300"/>
      <c r="G276" s="300"/>
      <c r="H276" s="300"/>
      <c r="I276" s="300"/>
      <c r="J276" s="300"/>
    </row>
    <row r="277" spans="1:10" s="298" customFormat="1">
      <c r="A277" s="337"/>
      <c r="F277" s="300"/>
      <c r="G277" s="300"/>
      <c r="H277" s="300"/>
      <c r="I277" s="300"/>
      <c r="J277" s="300"/>
    </row>
    <row r="278" spans="1:10" s="298" customFormat="1">
      <c r="A278" s="337"/>
      <c r="F278" s="300"/>
      <c r="G278" s="300"/>
      <c r="H278" s="300"/>
      <c r="I278" s="300"/>
      <c r="J278" s="300"/>
    </row>
    <row r="279" spans="1:10" s="298" customFormat="1">
      <c r="A279" s="337"/>
      <c r="F279" s="300"/>
      <c r="G279" s="300"/>
      <c r="H279" s="300"/>
      <c r="I279" s="300"/>
      <c r="J279" s="300"/>
    </row>
    <row r="280" spans="1:10" s="298" customFormat="1">
      <c r="A280" s="337"/>
      <c r="F280" s="300"/>
      <c r="G280" s="300"/>
      <c r="H280" s="300"/>
      <c r="I280" s="300"/>
      <c r="J280" s="300"/>
    </row>
    <row r="281" spans="1:10" s="298" customFormat="1">
      <c r="A281" s="337"/>
      <c r="F281" s="300"/>
      <c r="G281" s="300"/>
      <c r="H281" s="300"/>
      <c r="I281" s="300"/>
      <c r="J281" s="300"/>
    </row>
    <row r="282" spans="1:10" s="298" customFormat="1">
      <c r="A282" s="337"/>
      <c r="F282" s="300"/>
      <c r="G282" s="300"/>
      <c r="H282" s="300"/>
      <c r="I282" s="300"/>
      <c r="J282" s="300"/>
    </row>
    <row r="283" spans="1:10" s="298" customFormat="1">
      <c r="A283" s="337"/>
      <c r="F283" s="300"/>
      <c r="G283" s="300"/>
      <c r="H283" s="300"/>
      <c r="I283" s="300"/>
      <c r="J283" s="300"/>
    </row>
    <row r="284" spans="1:10" s="298" customFormat="1">
      <c r="A284" s="337"/>
      <c r="F284" s="300"/>
      <c r="G284" s="300"/>
      <c r="H284" s="300"/>
      <c r="I284" s="300"/>
      <c r="J284" s="300"/>
    </row>
    <row r="285" spans="1:10" s="298" customFormat="1">
      <c r="A285" s="337"/>
      <c r="F285" s="300"/>
      <c r="G285" s="300"/>
      <c r="H285" s="300"/>
      <c r="I285" s="300"/>
      <c r="J285" s="300"/>
    </row>
  </sheetData>
  <sheetProtection algorithmName="SHA-512" hashValue="R8ioerXOqXdqLjmoH8iOrORpzop2NR1lexdjfAeyPvi+qwc3jEsP0WIoz6bx/1uqLqIw7a6aCI270vGVUKlA9w==" saltValue="qjuyMlcZThQMsBFacLsVaQ==" spinCount="100000" sheet="1" objects="1" scenarios="1" selectLockedCells="1" selectUnlockedCells="1"/>
  <mergeCells count="72">
    <mergeCell ref="A20:C20"/>
    <mergeCell ref="A22:B22"/>
    <mergeCell ref="B35:G35"/>
    <mergeCell ref="G2:J2"/>
    <mergeCell ref="G4:J4"/>
    <mergeCell ref="G18:J18"/>
    <mergeCell ref="G22:J22"/>
    <mergeCell ref="G24:J24"/>
    <mergeCell ref="G20:I20"/>
    <mergeCell ref="G25:J25"/>
    <mergeCell ref="B33:F33"/>
    <mergeCell ref="A23:B23"/>
    <mergeCell ref="G23:J23"/>
    <mergeCell ref="B31:F31"/>
    <mergeCell ref="B32:F32"/>
    <mergeCell ref="A21:B21"/>
    <mergeCell ref="G47:J47"/>
    <mergeCell ref="A121:J121"/>
    <mergeCell ref="A96:J96"/>
    <mergeCell ref="A75:J75"/>
    <mergeCell ref="E47:E48"/>
    <mergeCell ref="D47:D48"/>
    <mergeCell ref="A88:J88"/>
    <mergeCell ref="A112:J112"/>
    <mergeCell ref="C47:C48"/>
    <mergeCell ref="I48:J48"/>
    <mergeCell ref="A47:A48"/>
    <mergeCell ref="B47:B48"/>
    <mergeCell ref="F47:F48"/>
    <mergeCell ref="A50:J50"/>
    <mergeCell ref="A90:J90"/>
    <mergeCell ref="I49:J49"/>
    <mergeCell ref="A45:J45"/>
    <mergeCell ref="A44:J44"/>
    <mergeCell ref="B42:F42"/>
    <mergeCell ref="B43:F43"/>
    <mergeCell ref="B34:F34"/>
    <mergeCell ref="B39:F39"/>
    <mergeCell ref="B38:F38"/>
    <mergeCell ref="B41:F41"/>
    <mergeCell ref="G38:H38"/>
    <mergeCell ref="G39:H39"/>
    <mergeCell ref="B40:F40"/>
    <mergeCell ref="B36:F36"/>
    <mergeCell ref="B37:F37"/>
    <mergeCell ref="A18:B18"/>
    <mergeCell ref="A15:B15"/>
    <mergeCell ref="A14:B14"/>
    <mergeCell ref="G3:J3"/>
    <mergeCell ref="G5:H5"/>
    <mergeCell ref="G8:J8"/>
    <mergeCell ref="A1:B6"/>
    <mergeCell ref="G10:J10"/>
    <mergeCell ref="G12:J12"/>
    <mergeCell ref="G14:J14"/>
    <mergeCell ref="A11:B11"/>
    <mergeCell ref="A16:B16"/>
    <mergeCell ref="G1:J1"/>
    <mergeCell ref="G9:J9"/>
    <mergeCell ref="G15:J15"/>
    <mergeCell ref="I51:J51"/>
    <mergeCell ref="C134:F134"/>
    <mergeCell ref="H134:J134"/>
    <mergeCell ref="C133:F133"/>
    <mergeCell ref="H133:J133"/>
    <mergeCell ref="A80:J80"/>
    <mergeCell ref="I54:J54"/>
    <mergeCell ref="I76:J76"/>
    <mergeCell ref="I77:J77"/>
    <mergeCell ref="I78:J78"/>
    <mergeCell ref="I59:J59"/>
    <mergeCell ref="I89:J89"/>
  </mergeCells>
  <phoneticPr fontId="3" type="noConversion"/>
  <pageMargins left="0.59055118110236227" right="0.59055118110236227" top="0.98425196850393704" bottom="0.59055118110236227" header="0.39370078740157483" footer="0.19685039370078741"/>
  <pageSetup paperSize="9" scale="61" orientation="landscape" r:id="rId1"/>
  <headerFooter alignWithMargins="0"/>
  <rowBreaks count="1" manualBreakCount="1">
    <brk id="43" max="8" man="1"/>
  </rowBreaks>
  <ignoredErrors>
    <ignoredError sqref="B113:B120 B122:B130" numberStoredAsText="1"/>
    <ignoredError sqref="C107" formulaRange="1"/>
    <ignoredError sqref="J91 C127:F127 C91 C92 C59:F60 G60:J60 C95 C129:F130 D128:F12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84"/>
  <sheetViews>
    <sheetView tabSelected="1" view="pageBreakPreview" topLeftCell="A6" zoomScale="66" zoomScaleNormal="75" zoomScaleSheetLayoutView="66" workbookViewId="0">
      <selection activeCell="H21" sqref="H21:I21"/>
    </sheetView>
  </sheetViews>
  <sheetFormatPr defaultColWidth="9.109375" defaultRowHeight="18"/>
  <cols>
    <col min="1" max="1" width="51.44140625" style="4" customWidth="1"/>
    <col min="2" max="2" width="13.5546875" style="14" customWidth="1"/>
    <col min="3" max="3" width="14.6640625" style="4" customWidth="1"/>
    <col min="4" max="4" width="14.88671875" style="4" customWidth="1"/>
    <col min="5" max="5" width="13.6640625" style="4" customWidth="1"/>
    <col min="6" max="6" width="15" style="4" customWidth="1"/>
    <col min="7" max="8" width="15.33203125" style="4" customWidth="1"/>
    <col min="9" max="9" width="14.5546875" style="4" customWidth="1"/>
    <col min="10" max="10" width="16.44140625" style="4" customWidth="1"/>
    <col min="11" max="11" width="14.33203125" style="4" customWidth="1"/>
    <col min="12" max="12" width="14.88671875" style="4" customWidth="1"/>
    <col min="13" max="13" width="15.109375" style="4" customWidth="1"/>
    <col min="14" max="15" width="14.44140625" style="4" customWidth="1"/>
    <col min="16" max="16384" width="9.109375" style="4"/>
  </cols>
  <sheetData>
    <row r="1" spans="1:15" ht="21">
      <c r="A1" s="28"/>
      <c r="B1" s="29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54" t="s">
        <v>347</v>
      </c>
    </row>
    <row r="2" spans="1:15" ht="23.25" customHeight="1">
      <c r="A2" s="665" t="s">
        <v>93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</row>
    <row r="3" spans="1:15" ht="23.25" customHeight="1">
      <c r="A3" s="665" t="s">
        <v>686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</row>
    <row r="4" spans="1:15" ht="23.25" customHeight="1">
      <c r="A4" s="666" t="s">
        <v>425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</row>
    <row r="5" spans="1:15" ht="20.100000000000001" customHeight="1">
      <c r="A5" s="530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</row>
    <row r="6" spans="1:15" ht="36.75" customHeight="1">
      <c r="A6" s="620" t="s">
        <v>270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</row>
    <row r="7" spans="1:15" ht="24.75" customHeight="1">
      <c r="A7" s="667" t="s">
        <v>190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</row>
    <row r="8" spans="1:15" s="16" customFormat="1" ht="83.25" customHeight="1">
      <c r="A8" s="553" t="s">
        <v>164</v>
      </c>
      <c r="B8" s="553"/>
      <c r="C8" s="553"/>
      <c r="D8" s="551" t="s">
        <v>705</v>
      </c>
      <c r="E8" s="551"/>
      <c r="F8" s="551" t="s">
        <v>706</v>
      </c>
      <c r="G8" s="551"/>
      <c r="H8" s="551" t="s">
        <v>683</v>
      </c>
      <c r="I8" s="551"/>
      <c r="J8" s="551" t="s">
        <v>704</v>
      </c>
      <c r="K8" s="551"/>
      <c r="L8" s="551" t="s">
        <v>684</v>
      </c>
      <c r="M8" s="551"/>
      <c r="N8" s="551" t="s">
        <v>685</v>
      </c>
      <c r="O8" s="551"/>
    </row>
    <row r="9" spans="1:15" s="16" customFormat="1" ht="24.75" customHeight="1">
      <c r="A9" s="553">
        <v>1</v>
      </c>
      <c r="B9" s="553"/>
      <c r="C9" s="553"/>
      <c r="D9" s="551">
        <v>2</v>
      </c>
      <c r="E9" s="551"/>
      <c r="F9" s="551">
        <v>3</v>
      </c>
      <c r="G9" s="551"/>
      <c r="H9" s="551">
        <v>4</v>
      </c>
      <c r="I9" s="551"/>
      <c r="J9" s="551">
        <v>5</v>
      </c>
      <c r="K9" s="551"/>
      <c r="L9" s="551">
        <v>6</v>
      </c>
      <c r="M9" s="551"/>
      <c r="N9" s="551">
        <v>7</v>
      </c>
      <c r="O9" s="551"/>
    </row>
    <row r="10" spans="1:15" s="16" customFormat="1" ht="73.5" customHeight="1">
      <c r="A10" s="661" t="s">
        <v>355</v>
      </c>
      <c r="B10" s="662"/>
      <c r="C10" s="663"/>
      <c r="D10" s="526">
        <f>SUM(D11:D13)</f>
        <v>213</v>
      </c>
      <c r="E10" s="660"/>
      <c r="F10" s="526">
        <f>SUM(F11:F13)</f>
        <v>213</v>
      </c>
      <c r="G10" s="660"/>
      <c r="H10" s="526">
        <f>SUM(H11:H13)</f>
        <v>214</v>
      </c>
      <c r="I10" s="660"/>
      <c r="J10" s="526">
        <f>SUM(J11:J13)</f>
        <v>214</v>
      </c>
      <c r="K10" s="660"/>
      <c r="L10" s="658">
        <f>J10/H10*100</f>
        <v>100</v>
      </c>
      <c r="M10" s="659"/>
      <c r="N10" s="658">
        <f>J10/D10*100</f>
        <v>100.5</v>
      </c>
      <c r="O10" s="659"/>
    </row>
    <row r="11" spans="1:15" s="16" customFormat="1" ht="26.25" customHeight="1">
      <c r="A11" s="656" t="s">
        <v>162</v>
      </c>
      <c r="B11" s="539"/>
      <c r="C11" s="657"/>
      <c r="D11" s="517">
        <v>1</v>
      </c>
      <c r="E11" s="614"/>
      <c r="F11" s="517">
        <v>1</v>
      </c>
      <c r="G11" s="614"/>
      <c r="H11" s="517">
        <f t="shared" ref="H11:H12" si="0">F11</f>
        <v>1</v>
      </c>
      <c r="I11" s="614"/>
      <c r="J11" s="517">
        <v>1</v>
      </c>
      <c r="K11" s="614"/>
      <c r="L11" s="615">
        <f>J11/H11*100</f>
        <v>100</v>
      </c>
      <c r="M11" s="616"/>
      <c r="N11" s="615">
        <f t="shared" ref="N11:N25" si="1">J11/D11*100</f>
        <v>100</v>
      </c>
      <c r="O11" s="616"/>
    </row>
    <row r="12" spans="1:15" s="16" customFormat="1" ht="26.25" customHeight="1">
      <c r="A12" s="656" t="s">
        <v>171</v>
      </c>
      <c r="B12" s="539"/>
      <c r="C12" s="657"/>
      <c r="D12" s="517">
        <v>40</v>
      </c>
      <c r="E12" s="614"/>
      <c r="F12" s="517">
        <v>40</v>
      </c>
      <c r="G12" s="614"/>
      <c r="H12" s="517">
        <f t="shared" si="0"/>
        <v>40</v>
      </c>
      <c r="I12" s="614"/>
      <c r="J12" s="517">
        <v>40</v>
      </c>
      <c r="K12" s="614"/>
      <c r="L12" s="615">
        <f t="shared" ref="L12:L25" si="2">J12/H12*100</f>
        <v>100</v>
      </c>
      <c r="M12" s="616"/>
      <c r="N12" s="615">
        <f t="shared" si="1"/>
        <v>100</v>
      </c>
      <c r="O12" s="616"/>
    </row>
    <row r="13" spans="1:15" s="16" customFormat="1" ht="26.25" customHeight="1">
      <c r="A13" s="656" t="s">
        <v>163</v>
      </c>
      <c r="B13" s="539"/>
      <c r="C13" s="657"/>
      <c r="D13" s="517">
        <v>172</v>
      </c>
      <c r="E13" s="614"/>
      <c r="F13" s="517">
        <v>172</v>
      </c>
      <c r="G13" s="614"/>
      <c r="H13" s="517">
        <v>173</v>
      </c>
      <c r="I13" s="614"/>
      <c r="J13" s="517">
        <v>173</v>
      </c>
      <c r="K13" s="614"/>
      <c r="L13" s="615">
        <f>J13/H13*100</f>
        <v>100</v>
      </c>
      <c r="M13" s="616"/>
      <c r="N13" s="615">
        <f t="shared" si="1"/>
        <v>100.6</v>
      </c>
      <c r="O13" s="616"/>
    </row>
    <row r="14" spans="1:15" s="16" customFormat="1" ht="33.75" customHeight="1">
      <c r="A14" s="661" t="s">
        <v>312</v>
      </c>
      <c r="B14" s="662"/>
      <c r="C14" s="663"/>
      <c r="D14" s="526">
        <f>SUM(D15:D17)</f>
        <v>36125</v>
      </c>
      <c r="E14" s="660"/>
      <c r="F14" s="526">
        <f>SUM(F15:F17)</f>
        <v>45836</v>
      </c>
      <c r="G14" s="660"/>
      <c r="H14" s="526">
        <f>SUM(H15:H17)</f>
        <v>38831</v>
      </c>
      <c r="I14" s="660"/>
      <c r="J14" s="526">
        <f>SUM(J15:J17)</f>
        <v>40092</v>
      </c>
      <c r="K14" s="660"/>
      <c r="L14" s="658">
        <f>J14/H14*100</f>
        <v>103.2</v>
      </c>
      <c r="M14" s="659"/>
      <c r="N14" s="658">
        <f>J14/D14*100</f>
        <v>111</v>
      </c>
      <c r="O14" s="659"/>
    </row>
    <row r="15" spans="1:15" s="16" customFormat="1" ht="25.5" customHeight="1">
      <c r="A15" s="656" t="s">
        <v>162</v>
      </c>
      <c r="B15" s="539"/>
      <c r="C15" s="657"/>
      <c r="D15" s="517">
        <v>334</v>
      </c>
      <c r="E15" s="614"/>
      <c r="F15" s="517">
        <v>400</v>
      </c>
      <c r="G15" s="614"/>
      <c r="H15" s="517">
        <v>381</v>
      </c>
      <c r="I15" s="614"/>
      <c r="J15" s="517">
        <v>397</v>
      </c>
      <c r="K15" s="614"/>
      <c r="L15" s="615">
        <f t="shared" si="2"/>
        <v>104.2</v>
      </c>
      <c r="M15" s="616"/>
      <c r="N15" s="615">
        <f t="shared" si="1"/>
        <v>118.9</v>
      </c>
      <c r="O15" s="616"/>
    </row>
    <row r="16" spans="1:15" s="16" customFormat="1" ht="25.5" customHeight="1">
      <c r="A16" s="656" t="s">
        <v>171</v>
      </c>
      <c r="B16" s="539"/>
      <c r="C16" s="657"/>
      <c r="D16" s="517">
        <v>8608</v>
      </c>
      <c r="E16" s="614"/>
      <c r="F16" s="517">
        <v>11040</v>
      </c>
      <c r="G16" s="614"/>
      <c r="H16" s="517">
        <v>9550</v>
      </c>
      <c r="I16" s="614"/>
      <c r="J16" s="517">
        <v>9875</v>
      </c>
      <c r="K16" s="614"/>
      <c r="L16" s="615">
        <f t="shared" si="2"/>
        <v>103.4</v>
      </c>
      <c r="M16" s="616"/>
      <c r="N16" s="615">
        <f t="shared" si="1"/>
        <v>114.7</v>
      </c>
      <c r="O16" s="616"/>
    </row>
    <row r="17" spans="1:15" s="16" customFormat="1" ht="25.5" customHeight="1">
      <c r="A17" s="656" t="s">
        <v>163</v>
      </c>
      <c r="B17" s="539"/>
      <c r="C17" s="657"/>
      <c r="D17" s="517">
        <v>27183</v>
      </c>
      <c r="E17" s="614"/>
      <c r="F17" s="517">
        <v>34396</v>
      </c>
      <c r="G17" s="614"/>
      <c r="H17" s="517">
        <v>28900</v>
      </c>
      <c r="I17" s="614"/>
      <c r="J17" s="517">
        <v>29820</v>
      </c>
      <c r="K17" s="614"/>
      <c r="L17" s="615">
        <f t="shared" si="2"/>
        <v>103.2</v>
      </c>
      <c r="M17" s="616"/>
      <c r="N17" s="615">
        <f t="shared" si="1"/>
        <v>109.7</v>
      </c>
      <c r="O17" s="616"/>
    </row>
    <row r="18" spans="1:15" s="16" customFormat="1" ht="35.25" customHeight="1">
      <c r="A18" s="661" t="s">
        <v>313</v>
      </c>
      <c r="B18" s="662"/>
      <c r="C18" s="663"/>
      <c r="D18" s="526">
        <f>'I. Фін результат'!C91</f>
        <v>36629</v>
      </c>
      <c r="E18" s="660"/>
      <c r="F18" s="526">
        <f>'I. Фін результат'!D91</f>
        <v>45836</v>
      </c>
      <c r="G18" s="660"/>
      <c r="H18" s="526">
        <v>38831</v>
      </c>
      <c r="I18" s="660"/>
      <c r="J18" s="526">
        <f>'I. Фін результат'!F91</f>
        <v>40092</v>
      </c>
      <c r="K18" s="660"/>
      <c r="L18" s="658">
        <f t="shared" si="2"/>
        <v>103.2</v>
      </c>
      <c r="M18" s="659"/>
      <c r="N18" s="658">
        <f t="shared" si="1"/>
        <v>109.5</v>
      </c>
      <c r="O18" s="659"/>
    </row>
    <row r="19" spans="1:15" s="16" customFormat="1" ht="27" customHeight="1">
      <c r="A19" s="656" t="s">
        <v>162</v>
      </c>
      <c r="B19" s="539"/>
      <c r="C19" s="657"/>
      <c r="D19" s="517">
        <v>334</v>
      </c>
      <c r="E19" s="614"/>
      <c r="F19" s="517">
        <v>400</v>
      </c>
      <c r="G19" s="614"/>
      <c r="H19" s="517">
        <v>381</v>
      </c>
      <c r="I19" s="614"/>
      <c r="J19" s="517">
        <v>397</v>
      </c>
      <c r="K19" s="614"/>
      <c r="L19" s="615">
        <f t="shared" si="2"/>
        <v>104.2</v>
      </c>
      <c r="M19" s="616"/>
      <c r="N19" s="615">
        <f t="shared" si="1"/>
        <v>118.9</v>
      </c>
      <c r="O19" s="616"/>
    </row>
    <row r="20" spans="1:15" s="16" customFormat="1" ht="27" customHeight="1">
      <c r="A20" s="656" t="s">
        <v>171</v>
      </c>
      <c r="B20" s="539"/>
      <c r="C20" s="657"/>
      <c r="D20" s="517">
        <v>8621</v>
      </c>
      <c r="E20" s="614"/>
      <c r="F20" s="517">
        <v>11040</v>
      </c>
      <c r="G20" s="614"/>
      <c r="H20" s="517">
        <v>9550</v>
      </c>
      <c r="I20" s="614"/>
      <c r="J20" s="517">
        <v>9875</v>
      </c>
      <c r="K20" s="614"/>
      <c r="L20" s="615">
        <f t="shared" si="2"/>
        <v>103.4</v>
      </c>
      <c r="M20" s="616"/>
      <c r="N20" s="615">
        <f t="shared" si="1"/>
        <v>114.5</v>
      </c>
      <c r="O20" s="616"/>
    </row>
    <row r="21" spans="1:15" s="16" customFormat="1" ht="27" customHeight="1">
      <c r="A21" s="656" t="s">
        <v>163</v>
      </c>
      <c r="B21" s="539"/>
      <c r="C21" s="657"/>
      <c r="D21" s="517">
        <v>27674</v>
      </c>
      <c r="E21" s="614"/>
      <c r="F21" s="517">
        <v>34396</v>
      </c>
      <c r="G21" s="614"/>
      <c r="H21" s="517">
        <v>28900</v>
      </c>
      <c r="I21" s="614"/>
      <c r="J21" s="517">
        <v>29820</v>
      </c>
      <c r="K21" s="614"/>
      <c r="L21" s="615">
        <f t="shared" si="2"/>
        <v>103.2</v>
      </c>
      <c r="M21" s="616"/>
      <c r="N21" s="615">
        <f t="shared" si="1"/>
        <v>107.8</v>
      </c>
      <c r="O21" s="616"/>
    </row>
    <row r="22" spans="1:15" s="16" customFormat="1" ht="55.5" customHeight="1">
      <c r="A22" s="661" t="s">
        <v>302</v>
      </c>
      <c r="B22" s="662"/>
      <c r="C22" s="663"/>
      <c r="D22" s="526">
        <f>(D18/D10)/12*1000</f>
        <v>14331</v>
      </c>
      <c r="E22" s="660"/>
      <c r="F22" s="526">
        <f>(F18/F10)/12*1000</f>
        <v>17933</v>
      </c>
      <c r="G22" s="660"/>
      <c r="H22" s="526">
        <f>(H18/H10)/12*1000</f>
        <v>15121</v>
      </c>
      <c r="I22" s="660"/>
      <c r="J22" s="526">
        <f>(J18/J10)/12*1000</f>
        <v>15612</v>
      </c>
      <c r="K22" s="660"/>
      <c r="L22" s="658">
        <f t="shared" si="2"/>
        <v>103.2</v>
      </c>
      <c r="M22" s="659"/>
      <c r="N22" s="658">
        <f t="shared" si="1"/>
        <v>108.9</v>
      </c>
      <c r="O22" s="659"/>
    </row>
    <row r="23" spans="1:15" s="16" customFormat="1" ht="26.25" customHeight="1">
      <c r="A23" s="656" t="s">
        <v>162</v>
      </c>
      <c r="B23" s="539"/>
      <c r="C23" s="657"/>
      <c r="D23" s="517">
        <f>(D19/D11)/12*1000</f>
        <v>27833</v>
      </c>
      <c r="E23" s="614"/>
      <c r="F23" s="517">
        <f>(F19/F11)/12*1000</f>
        <v>33333</v>
      </c>
      <c r="G23" s="614"/>
      <c r="H23" s="517">
        <f>(H19/H11)/12*1000</f>
        <v>31750</v>
      </c>
      <c r="I23" s="614"/>
      <c r="J23" s="517">
        <f>(J19/J11)/12*1000</f>
        <v>33083</v>
      </c>
      <c r="K23" s="614"/>
      <c r="L23" s="615">
        <f t="shared" si="2"/>
        <v>104.2</v>
      </c>
      <c r="M23" s="616"/>
      <c r="N23" s="615">
        <f t="shared" si="1"/>
        <v>118.9</v>
      </c>
      <c r="O23" s="616"/>
    </row>
    <row r="24" spans="1:15" s="16" customFormat="1" ht="26.25" customHeight="1">
      <c r="A24" s="656" t="s">
        <v>171</v>
      </c>
      <c r="B24" s="539"/>
      <c r="C24" s="657"/>
      <c r="D24" s="517">
        <f t="shared" ref="D24:J25" si="3">(D20/D12)/12*1000</f>
        <v>17960</v>
      </c>
      <c r="E24" s="614"/>
      <c r="F24" s="517">
        <f t="shared" si="3"/>
        <v>23000</v>
      </c>
      <c r="G24" s="614"/>
      <c r="H24" s="517">
        <f t="shared" si="3"/>
        <v>19896</v>
      </c>
      <c r="I24" s="614"/>
      <c r="J24" s="517">
        <f>(J20/J12)/12*1000</f>
        <v>20573</v>
      </c>
      <c r="K24" s="614"/>
      <c r="L24" s="615">
        <f t="shared" si="2"/>
        <v>103.4</v>
      </c>
      <c r="M24" s="616"/>
      <c r="N24" s="615">
        <f t="shared" si="1"/>
        <v>114.5</v>
      </c>
      <c r="O24" s="616"/>
    </row>
    <row r="25" spans="1:15" s="16" customFormat="1" ht="26.25" customHeight="1">
      <c r="A25" s="656" t="s">
        <v>163</v>
      </c>
      <c r="B25" s="539"/>
      <c r="C25" s="657"/>
      <c r="D25" s="517">
        <f t="shared" si="3"/>
        <v>13408</v>
      </c>
      <c r="E25" s="614"/>
      <c r="F25" s="517">
        <f t="shared" si="3"/>
        <v>16665</v>
      </c>
      <c r="G25" s="614"/>
      <c r="H25" s="517">
        <f t="shared" si="3"/>
        <v>13921</v>
      </c>
      <c r="I25" s="614"/>
      <c r="J25" s="517">
        <f t="shared" si="3"/>
        <v>14364</v>
      </c>
      <c r="K25" s="614"/>
      <c r="L25" s="615">
        <f t="shared" si="2"/>
        <v>103.2</v>
      </c>
      <c r="M25" s="616"/>
      <c r="N25" s="615">
        <f t="shared" si="1"/>
        <v>107.1</v>
      </c>
      <c r="O25" s="616"/>
    </row>
    <row r="26" spans="1:15" ht="27.75" customHeight="1">
      <c r="A26" s="664" t="s">
        <v>276</v>
      </c>
      <c r="B26" s="664"/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</row>
    <row r="27" spans="1:15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28"/>
      <c r="K27" s="28"/>
      <c r="L27" s="28"/>
      <c r="M27" s="28"/>
      <c r="N27" s="28"/>
      <c r="O27" s="28"/>
    </row>
    <row r="28" spans="1:15" ht="81" customHeight="1">
      <c r="A28" s="298"/>
      <c r="B28" s="298"/>
      <c r="C28" s="298"/>
      <c r="D28" s="298"/>
      <c r="E28" s="298"/>
      <c r="F28" s="298"/>
      <c r="G28" s="298"/>
      <c r="H28" s="298"/>
      <c r="I28" s="298" t="s">
        <v>457</v>
      </c>
      <c r="J28" s="298"/>
      <c r="K28" s="298"/>
      <c r="L28" s="298"/>
      <c r="M28" s="298"/>
      <c r="N28" s="298"/>
      <c r="O28" s="298"/>
    </row>
    <row r="29" spans="1:15" ht="40.5" customHeight="1">
      <c r="A29" s="668" t="s">
        <v>340</v>
      </c>
      <c r="B29" s="668"/>
      <c r="C29" s="668"/>
      <c r="D29" s="668"/>
      <c r="E29" s="668"/>
      <c r="F29" s="668"/>
      <c r="G29" s="668"/>
      <c r="H29" s="668"/>
      <c r="I29" s="668"/>
      <c r="J29" s="668"/>
      <c r="K29" s="28"/>
      <c r="L29" s="28"/>
      <c r="M29" s="28"/>
      <c r="N29" s="28"/>
      <c r="O29" s="28"/>
    </row>
    <row r="30" spans="1:15" ht="68.25" customHeight="1">
      <c r="A30" s="546" t="s">
        <v>395</v>
      </c>
      <c r="B30" s="543" t="s">
        <v>178</v>
      </c>
      <c r="C30" s="541"/>
      <c r="D30" s="551" t="s">
        <v>687</v>
      </c>
      <c r="E30" s="551"/>
      <c r="F30" s="551"/>
      <c r="G30" s="551" t="s">
        <v>688</v>
      </c>
      <c r="H30" s="551"/>
      <c r="I30" s="551"/>
      <c r="J30" s="543" t="s">
        <v>689</v>
      </c>
      <c r="K30" s="540"/>
      <c r="L30" s="541"/>
      <c r="M30" s="551" t="s">
        <v>710</v>
      </c>
      <c r="N30" s="551"/>
      <c r="O30" s="551"/>
    </row>
    <row r="31" spans="1:15" ht="165" customHeight="1">
      <c r="A31" s="547"/>
      <c r="B31" s="304" t="s">
        <v>665</v>
      </c>
      <c r="C31" s="304" t="s">
        <v>666</v>
      </c>
      <c r="D31" s="304" t="s">
        <v>314</v>
      </c>
      <c r="E31" s="304" t="s">
        <v>179</v>
      </c>
      <c r="F31" s="304" t="s">
        <v>315</v>
      </c>
      <c r="G31" s="304" t="s">
        <v>314</v>
      </c>
      <c r="H31" s="304" t="s">
        <v>179</v>
      </c>
      <c r="I31" s="304" t="s">
        <v>315</v>
      </c>
      <c r="J31" s="304" t="s">
        <v>314</v>
      </c>
      <c r="K31" s="304" t="s">
        <v>179</v>
      </c>
      <c r="L31" s="304" t="s">
        <v>315</v>
      </c>
      <c r="M31" s="304" t="s">
        <v>314</v>
      </c>
      <c r="N31" s="304" t="s">
        <v>179</v>
      </c>
      <c r="O31" s="304" t="s">
        <v>315</v>
      </c>
    </row>
    <row r="32" spans="1:15" ht="25.5" customHeight="1">
      <c r="A32" s="304">
        <v>1</v>
      </c>
      <c r="B32" s="304">
        <v>2</v>
      </c>
      <c r="C32" s="304">
        <v>3</v>
      </c>
      <c r="D32" s="304">
        <v>4</v>
      </c>
      <c r="E32" s="304">
        <v>5</v>
      </c>
      <c r="F32" s="304">
        <v>6</v>
      </c>
      <c r="G32" s="304">
        <v>7</v>
      </c>
      <c r="H32" s="303">
        <v>8</v>
      </c>
      <c r="I32" s="303">
        <v>9</v>
      </c>
      <c r="J32" s="303">
        <v>10</v>
      </c>
      <c r="K32" s="303">
        <v>11</v>
      </c>
      <c r="L32" s="303">
        <v>12</v>
      </c>
      <c r="M32" s="303">
        <v>13</v>
      </c>
      <c r="N32" s="303">
        <v>14</v>
      </c>
      <c r="O32" s="303">
        <v>15</v>
      </c>
    </row>
    <row r="33" spans="1:15" ht="24.9" customHeight="1">
      <c r="A33" s="413" t="s">
        <v>598</v>
      </c>
      <c r="B33" s="436">
        <f>D33/D44*100</f>
        <v>65.599999999999994</v>
      </c>
      <c r="C33" s="436">
        <f>M33/M44*100</f>
        <v>67</v>
      </c>
      <c r="D33" s="416">
        <v>66125</v>
      </c>
      <c r="E33" s="416"/>
      <c r="F33" s="416"/>
      <c r="G33" s="417">
        <v>78640</v>
      </c>
      <c r="H33" s="417"/>
      <c r="I33" s="417"/>
      <c r="J33" s="417">
        <v>58212</v>
      </c>
      <c r="K33" s="417"/>
      <c r="L33" s="417"/>
      <c r="M33" s="417">
        <v>93508</v>
      </c>
      <c r="N33" s="441"/>
      <c r="O33" s="373"/>
    </row>
    <row r="34" spans="1:15" ht="42" customHeight="1">
      <c r="A34" s="413" t="s">
        <v>664</v>
      </c>
      <c r="B34" s="418">
        <f>D34/D44*100</f>
        <v>7.4</v>
      </c>
      <c r="C34" s="507">
        <f>M34/M44*100-0.1</f>
        <v>6.4</v>
      </c>
      <c r="D34" s="416">
        <v>7458</v>
      </c>
      <c r="E34" s="416"/>
      <c r="F34" s="416"/>
      <c r="G34" s="417">
        <v>8011</v>
      </c>
      <c r="H34" s="417"/>
      <c r="I34" s="417"/>
      <c r="J34" s="417">
        <v>6000</v>
      </c>
      <c r="K34" s="417"/>
      <c r="L34" s="417"/>
      <c r="M34" s="417">
        <v>9016</v>
      </c>
      <c r="N34" s="441"/>
      <c r="O34" s="373"/>
    </row>
    <row r="35" spans="1:15" ht="24.9" customHeight="1">
      <c r="A35" s="413" t="s">
        <v>575</v>
      </c>
      <c r="B35" s="418">
        <f>D35/D44*100</f>
        <v>17</v>
      </c>
      <c r="C35" s="507">
        <f>M35/M44*100-0.1</f>
        <v>20.3</v>
      </c>
      <c r="D35" s="416">
        <v>17107</v>
      </c>
      <c r="E35" s="416"/>
      <c r="F35" s="416"/>
      <c r="G35" s="417">
        <v>23867</v>
      </c>
      <c r="H35" s="417"/>
      <c r="I35" s="417"/>
      <c r="J35" s="417">
        <v>17534</v>
      </c>
      <c r="K35" s="417"/>
      <c r="L35" s="417"/>
      <c r="M35" s="417">
        <v>28412</v>
      </c>
      <c r="N35" s="441"/>
      <c r="O35" s="373"/>
    </row>
    <row r="36" spans="1:15" ht="24.9" customHeight="1">
      <c r="A36" s="413" t="s">
        <v>440</v>
      </c>
      <c r="B36" s="418">
        <f>D36/D44*100</f>
        <v>5</v>
      </c>
      <c r="C36" s="418">
        <f>M36/M44*100</f>
        <v>4.0999999999999996</v>
      </c>
      <c r="D36" s="416">
        <v>5023</v>
      </c>
      <c r="E36" s="416"/>
      <c r="F36" s="416"/>
      <c r="G36" s="417">
        <v>5749</v>
      </c>
      <c r="H36" s="417"/>
      <c r="I36" s="417"/>
      <c r="J36" s="419">
        <v>4256</v>
      </c>
      <c r="K36" s="417"/>
      <c r="L36" s="417"/>
      <c r="M36" s="417">
        <v>5749</v>
      </c>
      <c r="N36" s="441"/>
      <c r="O36" s="373"/>
    </row>
    <row r="37" spans="1:15" ht="24.9" customHeight="1">
      <c r="A37" s="413" t="s">
        <v>442</v>
      </c>
      <c r="B37" s="418">
        <f>D37/D44*100</f>
        <v>0.2</v>
      </c>
      <c r="C37" s="418">
        <f>M37/M44*100</f>
        <v>0.1</v>
      </c>
      <c r="D37" s="416">
        <v>222</v>
      </c>
      <c r="E37" s="416"/>
      <c r="F37" s="416"/>
      <c r="G37" s="417">
        <v>225</v>
      </c>
      <c r="H37" s="417"/>
      <c r="I37" s="417"/>
      <c r="J37" s="417">
        <v>67</v>
      </c>
      <c r="K37" s="417"/>
      <c r="L37" s="417"/>
      <c r="M37" s="417">
        <v>88</v>
      </c>
      <c r="N37" s="441"/>
      <c r="O37" s="373"/>
    </row>
    <row r="38" spans="1:15" ht="43.5" customHeight="1">
      <c r="A38" s="415" t="s">
        <v>602</v>
      </c>
      <c r="B38" s="418">
        <f>D38/D44*100</f>
        <v>0.6</v>
      </c>
      <c r="C38" s="418">
        <f>ROUND(M38/M44*100,1)</f>
        <v>0.5</v>
      </c>
      <c r="D38" s="416">
        <v>575</v>
      </c>
      <c r="E38" s="416"/>
      <c r="F38" s="416"/>
      <c r="G38" s="417">
        <v>577</v>
      </c>
      <c r="H38" s="417"/>
      <c r="I38" s="417"/>
      <c r="J38" s="417">
        <v>244</v>
      </c>
      <c r="K38" s="417"/>
      <c r="L38" s="417"/>
      <c r="M38" s="417">
        <v>642</v>
      </c>
      <c r="N38" s="441"/>
      <c r="O38" s="373"/>
    </row>
    <row r="39" spans="1:15" ht="24.9" customHeight="1">
      <c r="A39" s="413" t="s">
        <v>599</v>
      </c>
      <c r="B39" s="418">
        <f>D39/D44*100</f>
        <v>1.7</v>
      </c>
      <c r="C39" s="418">
        <f>ROUND(M39/M44*100,1)</f>
        <v>0.2</v>
      </c>
      <c r="D39" s="416">
        <v>1685</v>
      </c>
      <c r="E39" s="416"/>
      <c r="F39" s="416"/>
      <c r="G39" s="417">
        <v>250</v>
      </c>
      <c r="H39" s="417"/>
      <c r="I39" s="417"/>
      <c r="J39" s="417">
        <v>189</v>
      </c>
      <c r="K39" s="417"/>
      <c r="L39" s="417"/>
      <c r="M39" s="417">
        <v>252</v>
      </c>
      <c r="N39" s="441"/>
      <c r="O39" s="373"/>
    </row>
    <row r="40" spans="1:15" ht="24.9" customHeight="1">
      <c r="A40" s="415" t="s">
        <v>443</v>
      </c>
      <c r="B40" s="418">
        <f>D40/D44*100</f>
        <v>1.6</v>
      </c>
      <c r="C40" s="418">
        <f>ROUND(M40/M44*100,1)</f>
        <v>0.8</v>
      </c>
      <c r="D40" s="416">
        <v>1610</v>
      </c>
      <c r="E40" s="416"/>
      <c r="F40" s="416"/>
      <c r="G40" s="417">
        <v>1403</v>
      </c>
      <c r="H40" s="417"/>
      <c r="I40" s="417"/>
      <c r="J40" s="417">
        <v>790</v>
      </c>
      <c r="K40" s="417"/>
      <c r="L40" s="417"/>
      <c r="M40" s="417">
        <v>1052</v>
      </c>
      <c r="N40" s="441"/>
      <c r="O40" s="373"/>
    </row>
    <row r="41" spans="1:15" ht="24.9" customHeight="1">
      <c r="A41" s="415" t="s">
        <v>444</v>
      </c>
      <c r="B41" s="418">
        <f>D41/D44*100</f>
        <v>0.9</v>
      </c>
      <c r="C41" s="418">
        <f>ROUND(M41/M44*100,1)</f>
        <v>0.6</v>
      </c>
      <c r="D41" s="416">
        <v>882</v>
      </c>
      <c r="E41" s="416"/>
      <c r="F41" s="416"/>
      <c r="G41" s="416">
        <v>990</v>
      </c>
      <c r="H41" s="416"/>
      <c r="I41" s="416"/>
      <c r="J41" s="416">
        <v>576</v>
      </c>
      <c r="K41" s="416"/>
      <c r="L41" s="416"/>
      <c r="M41" s="416">
        <v>768</v>
      </c>
      <c r="N41" s="441"/>
      <c r="O41" s="88"/>
    </row>
    <row r="42" spans="1:15" ht="24.9" customHeight="1">
      <c r="A42" s="413" t="s">
        <v>439</v>
      </c>
      <c r="B42" s="418">
        <f>D42/D44*100</f>
        <v>0</v>
      </c>
      <c r="C42" s="418">
        <f>ROUND(M42/M44*100,1)</f>
        <v>0</v>
      </c>
      <c r="D42" s="416">
        <v>8</v>
      </c>
      <c r="E42" s="416"/>
      <c r="F42" s="416"/>
      <c r="G42" s="417">
        <v>8</v>
      </c>
      <c r="H42" s="417"/>
      <c r="I42" s="417"/>
      <c r="J42" s="417">
        <v>12</v>
      </c>
      <c r="K42" s="417"/>
      <c r="L42" s="417"/>
      <c r="M42" s="417">
        <v>16</v>
      </c>
      <c r="N42" s="441"/>
      <c r="O42" s="373"/>
    </row>
    <row r="43" spans="1:15" ht="24.9" customHeight="1">
      <c r="A43" s="413" t="s">
        <v>441</v>
      </c>
      <c r="B43" s="418">
        <f>D43/D44*100</f>
        <v>0</v>
      </c>
      <c r="C43" s="418">
        <f>ROUND(M43/M44*100,1)</f>
        <v>0</v>
      </c>
      <c r="D43" s="416">
        <v>40</v>
      </c>
      <c r="E43" s="416"/>
      <c r="F43" s="416"/>
      <c r="G43" s="417">
        <v>32</v>
      </c>
      <c r="H43" s="417"/>
      <c r="I43" s="417"/>
      <c r="J43" s="417">
        <v>7</v>
      </c>
      <c r="K43" s="417"/>
      <c r="L43" s="417"/>
      <c r="M43" s="417">
        <v>9</v>
      </c>
      <c r="N43" s="441"/>
      <c r="O43" s="373"/>
    </row>
    <row r="44" spans="1:15" ht="30.75" customHeight="1">
      <c r="A44" s="414" t="s">
        <v>49</v>
      </c>
      <c r="B44" s="420">
        <f>SUM(B33:B43)</f>
        <v>100</v>
      </c>
      <c r="C44" s="420">
        <f>SUM(C33:C43)</f>
        <v>100</v>
      </c>
      <c r="D44" s="421">
        <f>SUM(D33:D43)</f>
        <v>100735</v>
      </c>
      <c r="E44" s="421"/>
      <c r="F44" s="421"/>
      <c r="G44" s="421">
        <f>SUM(G33:G43)</f>
        <v>119752</v>
      </c>
      <c r="H44" s="421"/>
      <c r="I44" s="421"/>
      <c r="J44" s="421">
        <f>SUM(J33:J43)</f>
        <v>87887</v>
      </c>
      <c r="K44" s="421"/>
      <c r="L44" s="421"/>
      <c r="M44" s="421">
        <f>SUM(M33:M43)</f>
        <v>139512</v>
      </c>
      <c r="N44" s="376"/>
      <c r="O44" s="376"/>
    </row>
    <row r="45" spans="1:15" ht="19.5" customHeight="1">
      <c r="A45" s="23"/>
      <c r="B45" s="85"/>
      <c r="C45" s="85"/>
      <c r="D45" s="85"/>
      <c r="E45" s="85"/>
      <c r="F45" s="86"/>
      <c r="G45" s="86"/>
      <c r="H45" s="86"/>
      <c r="I45" s="311"/>
      <c r="J45" s="311"/>
      <c r="K45" s="311"/>
      <c r="L45" s="311"/>
      <c r="M45" s="311"/>
      <c r="N45" s="311"/>
      <c r="O45" s="311"/>
    </row>
    <row r="46" spans="1:15" ht="34.5" customHeight="1">
      <c r="A46" s="620" t="s">
        <v>341</v>
      </c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</row>
    <row r="47" spans="1:15" ht="63" customHeight="1">
      <c r="A47" s="513" t="s">
        <v>457</v>
      </c>
      <c r="B47" s="618" t="s">
        <v>62</v>
      </c>
      <c r="C47" s="618"/>
      <c r="D47" s="618" t="s">
        <v>57</v>
      </c>
      <c r="E47" s="618"/>
      <c r="F47" s="618" t="s">
        <v>58</v>
      </c>
      <c r="G47" s="618"/>
      <c r="H47" s="618" t="s">
        <v>180</v>
      </c>
      <c r="I47" s="618"/>
      <c r="J47" s="618"/>
      <c r="K47" s="623" t="s">
        <v>697</v>
      </c>
      <c r="L47" s="624"/>
      <c r="M47" s="623" t="s">
        <v>29</v>
      </c>
      <c r="N47" s="652"/>
      <c r="O47" s="624"/>
    </row>
    <row r="48" spans="1:15" ht="25.5" customHeight="1">
      <c r="A48" s="303">
        <v>1</v>
      </c>
      <c r="B48" s="553">
        <v>2</v>
      </c>
      <c r="C48" s="553"/>
      <c r="D48" s="553">
        <v>3</v>
      </c>
      <c r="E48" s="553"/>
      <c r="F48" s="651">
        <v>4</v>
      </c>
      <c r="G48" s="651"/>
      <c r="H48" s="553">
        <v>5</v>
      </c>
      <c r="I48" s="553"/>
      <c r="J48" s="553"/>
      <c r="K48" s="553">
        <v>6</v>
      </c>
      <c r="L48" s="553"/>
      <c r="M48" s="653">
        <v>7</v>
      </c>
      <c r="N48" s="654"/>
      <c r="O48" s="655"/>
    </row>
    <row r="49" spans="1:15" ht="38.25" customHeight="1">
      <c r="A49" s="479" t="s">
        <v>447</v>
      </c>
      <c r="B49" s="627" t="s">
        <v>448</v>
      </c>
      <c r="C49" s="629"/>
      <c r="D49" s="646">
        <v>2117</v>
      </c>
      <c r="E49" s="647"/>
      <c r="F49" s="625">
        <v>18.8</v>
      </c>
      <c r="G49" s="626"/>
      <c r="H49" s="627" t="s">
        <v>449</v>
      </c>
      <c r="I49" s="628"/>
      <c r="J49" s="629"/>
      <c r="K49" s="630">
        <v>481</v>
      </c>
      <c r="L49" s="631"/>
      <c r="M49" s="643" t="s">
        <v>450</v>
      </c>
      <c r="N49" s="644"/>
      <c r="O49" s="645"/>
    </row>
    <row r="50" spans="1:15" ht="40.5" customHeight="1">
      <c r="A50" s="479" t="s">
        <v>447</v>
      </c>
      <c r="B50" s="627" t="s">
        <v>448</v>
      </c>
      <c r="C50" s="629"/>
      <c r="D50" s="646">
        <v>2681</v>
      </c>
      <c r="E50" s="647"/>
      <c r="F50" s="625">
        <v>18.8</v>
      </c>
      <c r="G50" s="626"/>
      <c r="H50" s="627" t="s">
        <v>451</v>
      </c>
      <c r="I50" s="628"/>
      <c r="J50" s="629"/>
      <c r="K50" s="630">
        <v>609</v>
      </c>
      <c r="L50" s="631"/>
      <c r="M50" s="643" t="s">
        <v>450</v>
      </c>
      <c r="N50" s="644"/>
      <c r="O50" s="645"/>
    </row>
    <row r="51" spans="1:15" ht="40.5" customHeight="1">
      <c r="A51" s="479" t="s">
        <v>447</v>
      </c>
      <c r="B51" s="627" t="s">
        <v>448</v>
      </c>
      <c r="C51" s="629"/>
      <c r="D51" s="480"/>
      <c r="E51" s="481">
        <v>1796</v>
      </c>
      <c r="F51" s="625">
        <v>27.5</v>
      </c>
      <c r="G51" s="626"/>
      <c r="H51" s="627" t="s">
        <v>521</v>
      </c>
      <c r="I51" s="628"/>
      <c r="J51" s="629"/>
      <c r="K51" s="482"/>
      <c r="L51" s="483">
        <v>975</v>
      </c>
      <c r="M51" s="670" t="s">
        <v>450</v>
      </c>
      <c r="N51" s="670"/>
      <c r="O51" s="670"/>
    </row>
    <row r="52" spans="1:15" ht="58.5" customHeight="1">
      <c r="A52" s="479" t="s">
        <v>607</v>
      </c>
      <c r="B52" s="669" t="s">
        <v>445</v>
      </c>
      <c r="C52" s="669"/>
      <c r="D52" s="646">
        <v>2750</v>
      </c>
      <c r="E52" s="647"/>
      <c r="F52" s="625">
        <v>5</v>
      </c>
      <c r="G52" s="626"/>
      <c r="H52" s="627" t="s">
        <v>453</v>
      </c>
      <c r="I52" s="628"/>
      <c r="J52" s="629"/>
      <c r="K52" s="630">
        <v>917</v>
      </c>
      <c r="L52" s="631"/>
      <c r="M52" s="670" t="s">
        <v>446</v>
      </c>
      <c r="N52" s="670"/>
      <c r="O52" s="670"/>
    </row>
    <row r="53" spans="1:15" ht="42.75" customHeight="1">
      <c r="A53" s="479" t="s">
        <v>607</v>
      </c>
      <c r="B53" s="669" t="s">
        <v>452</v>
      </c>
      <c r="C53" s="669"/>
      <c r="D53" s="671">
        <v>5520</v>
      </c>
      <c r="E53" s="672"/>
      <c r="F53" s="673">
        <v>5</v>
      </c>
      <c r="G53" s="673"/>
      <c r="H53" s="598" t="s">
        <v>454</v>
      </c>
      <c r="I53" s="598"/>
      <c r="J53" s="598"/>
      <c r="K53" s="630">
        <v>2555</v>
      </c>
      <c r="L53" s="631"/>
      <c r="M53" s="643" t="s">
        <v>455</v>
      </c>
      <c r="N53" s="644"/>
      <c r="O53" s="645"/>
    </row>
    <row r="54" spans="1:15" ht="28.5" customHeight="1">
      <c r="A54" s="322" t="s">
        <v>49</v>
      </c>
      <c r="B54" s="619" t="s">
        <v>30</v>
      </c>
      <c r="C54" s="619"/>
      <c r="D54" s="619" t="s">
        <v>30</v>
      </c>
      <c r="E54" s="619"/>
      <c r="F54" s="619" t="s">
        <v>30</v>
      </c>
      <c r="G54" s="619"/>
      <c r="H54" s="619"/>
      <c r="I54" s="619"/>
      <c r="J54" s="619"/>
      <c r="K54" s="526">
        <f>SUM(K49:L53)</f>
        <v>5537</v>
      </c>
      <c r="L54" s="660"/>
      <c r="M54" s="622"/>
      <c r="N54" s="622"/>
      <c r="O54" s="622"/>
    </row>
    <row r="55" spans="1:15" ht="18" customHeight="1">
      <c r="A55" s="86"/>
      <c r="B55" s="298"/>
      <c r="C55" s="298"/>
      <c r="D55" s="298"/>
      <c r="E55" s="298"/>
      <c r="F55" s="298"/>
      <c r="G55" s="298"/>
      <c r="H55" s="298"/>
      <c r="I55" s="298"/>
      <c r="J55" s="298"/>
      <c r="K55" s="300"/>
      <c r="L55" s="300"/>
      <c r="M55" s="300"/>
      <c r="N55" s="300"/>
      <c r="O55" s="300"/>
    </row>
    <row r="56" spans="1:15" ht="20.100000000000001" customHeight="1">
      <c r="A56" s="620" t="s">
        <v>342</v>
      </c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</row>
    <row r="57" spans="1:15" ht="20.100000000000001" customHeight="1">
      <c r="A57" s="311"/>
      <c r="B57" s="311"/>
      <c r="C57" s="311"/>
      <c r="D57" s="311"/>
      <c r="E57" s="311"/>
      <c r="F57" s="311"/>
      <c r="G57" s="311"/>
      <c r="H57" s="311"/>
      <c r="I57" s="87"/>
      <c r="J57" s="28"/>
      <c r="K57" s="28"/>
      <c r="L57" s="28"/>
      <c r="M57" s="28"/>
      <c r="N57" s="28"/>
      <c r="O57" s="28"/>
    </row>
    <row r="58" spans="1:15" ht="52.5" customHeight="1">
      <c r="A58" s="618" t="s">
        <v>56</v>
      </c>
      <c r="B58" s="618"/>
      <c r="C58" s="618"/>
      <c r="D58" s="618" t="s">
        <v>690</v>
      </c>
      <c r="E58" s="618"/>
      <c r="F58" s="618"/>
      <c r="G58" s="618" t="s">
        <v>196</v>
      </c>
      <c r="H58" s="618"/>
      <c r="I58" s="618"/>
      <c r="J58" s="618" t="s">
        <v>194</v>
      </c>
      <c r="K58" s="618"/>
      <c r="L58" s="618"/>
      <c r="M58" s="618" t="s">
        <v>691</v>
      </c>
      <c r="N58" s="618"/>
      <c r="O58" s="618"/>
    </row>
    <row r="59" spans="1:15" ht="20.100000000000001" customHeight="1">
      <c r="A59" s="618">
        <v>1</v>
      </c>
      <c r="B59" s="618"/>
      <c r="C59" s="618"/>
      <c r="D59" s="618">
        <v>2</v>
      </c>
      <c r="E59" s="618"/>
      <c r="F59" s="618"/>
      <c r="G59" s="618">
        <v>3</v>
      </c>
      <c r="H59" s="618"/>
      <c r="I59" s="618"/>
      <c r="J59" s="621">
        <v>4</v>
      </c>
      <c r="K59" s="621"/>
      <c r="L59" s="621"/>
      <c r="M59" s="621">
        <v>5</v>
      </c>
      <c r="N59" s="621"/>
      <c r="O59" s="621"/>
    </row>
    <row r="60" spans="1:15" ht="30.75" customHeight="1">
      <c r="A60" s="617" t="s">
        <v>709</v>
      </c>
      <c r="B60" s="617"/>
      <c r="C60" s="617"/>
      <c r="D60" s="648">
        <f>D61+D62+D63+D64+D65</f>
        <v>5537</v>
      </c>
      <c r="E60" s="649"/>
      <c r="F60" s="650"/>
      <c r="G60" s="648">
        <f>G65</f>
        <v>0</v>
      </c>
      <c r="H60" s="649"/>
      <c r="I60" s="650"/>
      <c r="J60" s="648">
        <f>J61+J62+J63+J64+J65</f>
        <v>3249</v>
      </c>
      <c r="K60" s="649"/>
      <c r="L60" s="650"/>
      <c r="M60" s="648">
        <f>D60+G60-J60</f>
        <v>2288</v>
      </c>
      <c r="N60" s="649"/>
      <c r="O60" s="650"/>
    </row>
    <row r="61" spans="1:15" s="478" customFormat="1" ht="26.25" customHeight="1">
      <c r="A61" s="472" t="s">
        <v>452</v>
      </c>
      <c r="B61" s="473"/>
      <c r="C61" s="474"/>
      <c r="D61" s="611">
        <f>K53</f>
        <v>2555</v>
      </c>
      <c r="E61" s="612"/>
      <c r="F61" s="613"/>
      <c r="G61" s="475"/>
      <c r="H61" s="476"/>
      <c r="I61" s="477"/>
      <c r="J61" s="611">
        <v>1226</v>
      </c>
      <c r="K61" s="612"/>
      <c r="L61" s="613"/>
      <c r="M61" s="611">
        <f t="shared" ref="M61:M67" si="4">D61+G61-J61</f>
        <v>1329</v>
      </c>
      <c r="N61" s="612"/>
      <c r="O61" s="613"/>
    </row>
    <row r="62" spans="1:15" s="478" customFormat="1" ht="26.25" customHeight="1">
      <c r="A62" s="632" t="s">
        <v>445</v>
      </c>
      <c r="B62" s="633"/>
      <c r="C62" s="634"/>
      <c r="D62" s="611">
        <f>K52</f>
        <v>917</v>
      </c>
      <c r="E62" s="612"/>
      <c r="F62" s="613"/>
      <c r="G62" s="475"/>
      <c r="H62" s="476"/>
      <c r="I62" s="477"/>
      <c r="J62" s="611">
        <v>550</v>
      </c>
      <c r="K62" s="612"/>
      <c r="L62" s="613"/>
      <c r="M62" s="611">
        <f t="shared" si="4"/>
        <v>367</v>
      </c>
      <c r="N62" s="612"/>
      <c r="O62" s="613"/>
    </row>
    <row r="63" spans="1:15" s="478" customFormat="1" ht="26.25" customHeight="1">
      <c r="A63" s="632" t="s">
        <v>458</v>
      </c>
      <c r="B63" s="633"/>
      <c r="C63" s="634"/>
      <c r="D63" s="611">
        <f>K49</f>
        <v>481</v>
      </c>
      <c r="E63" s="612"/>
      <c r="F63" s="613"/>
      <c r="G63" s="475"/>
      <c r="H63" s="476"/>
      <c r="I63" s="477"/>
      <c r="J63" s="611">
        <v>481</v>
      </c>
      <c r="K63" s="612"/>
      <c r="L63" s="613"/>
      <c r="M63" s="611">
        <f t="shared" si="4"/>
        <v>0</v>
      </c>
      <c r="N63" s="612"/>
      <c r="O63" s="613"/>
    </row>
    <row r="64" spans="1:15" s="478" customFormat="1" ht="26.25" customHeight="1">
      <c r="A64" s="632" t="s">
        <v>458</v>
      </c>
      <c r="B64" s="633"/>
      <c r="C64" s="634"/>
      <c r="D64" s="611">
        <f>K50</f>
        <v>609</v>
      </c>
      <c r="E64" s="612"/>
      <c r="F64" s="613"/>
      <c r="G64" s="475"/>
      <c r="H64" s="476"/>
      <c r="I64" s="477"/>
      <c r="J64" s="611">
        <v>609</v>
      </c>
      <c r="K64" s="612"/>
      <c r="L64" s="613"/>
      <c r="M64" s="611">
        <f t="shared" si="4"/>
        <v>0</v>
      </c>
      <c r="N64" s="612"/>
      <c r="O64" s="613"/>
    </row>
    <row r="65" spans="1:15" s="478" customFormat="1" ht="26.25" customHeight="1">
      <c r="A65" s="632" t="s">
        <v>458</v>
      </c>
      <c r="B65" s="633"/>
      <c r="C65" s="634"/>
      <c r="D65" s="611">
        <f>L51</f>
        <v>975</v>
      </c>
      <c r="E65" s="612"/>
      <c r="F65" s="613"/>
      <c r="G65" s="611"/>
      <c r="H65" s="612"/>
      <c r="I65" s="613"/>
      <c r="J65" s="611">
        <v>383</v>
      </c>
      <c r="K65" s="612"/>
      <c r="L65" s="613"/>
      <c r="M65" s="611">
        <f t="shared" si="4"/>
        <v>592</v>
      </c>
      <c r="N65" s="612"/>
      <c r="O65" s="613"/>
    </row>
    <row r="66" spans="1:15" ht="28.5" customHeight="1">
      <c r="A66" s="639" t="s">
        <v>707</v>
      </c>
      <c r="B66" s="640"/>
      <c r="C66" s="641"/>
      <c r="D66" s="642">
        <v>0</v>
      </c>
      <c r="E66" s="642"/>
      <c r="F66" s="642"/>
      <c r="G66" s="642"/>
      <c r="H66" s="642"/>
      <c r="I66" s="642"/>
      <c r="J66" s="642">
        <v>0</v>
      </c>
      <c r="K66" s="642"/>
      <c r="L66" s="642"/>
      <c r="M66" s="648"/>
      <c r="N66" s="649"/>
      <c r="O66" s="650"/>
    </row>
    <row r="67" spans="1:15" ht="19.5" customHeight="1">
      <c r="A67" s="639"/>
      <c r="B67" s="640"/>
      <c r="C67" s="641"/>
      <c r="D67" s="642"/>
      <c r="E67" s="642"/>
      <c r="F67" s="642"/>
      <c r="G67" s="642"/>
      <c r="H67" s="642"/>
      <c r="I67" s="642"/>
      <c r="J67" s="642"/>
      <c r="K67" s="642"/>
      <c r="L67" s="642"/>
      <c r="M67" s="648">
        <f t="shared" si="4"/>
        <v>0</v>
      </c>
      <c r="N67" s="649"/>
      <c r="O67" s="650"/>
    </row>
    <row r="68" spans="1:15" ht="30" customHeight="1">
      <c r="A68" s="617" t="s">
        <v>708</v>
      </c>
      <c r="B68" s="617"/>
      <c r="C68" s="617"/>
      <c r="D68" s="642">
        <v>0</v>
      </c>
      <c r="E68" s="642"/>
      <c r="F68" s="642"/>
      <c r="G68" s="642"/>
      <c r="H68" s="642"/>
      <c r="I68" s="642"/>
      <c r="J68" s="642">
        <v>0</v>
      </c>
      <c r="K68" s="642"/>
      <c r="L68" s="642"/>
      <c r="M68" s="648">
        <f t="shared" ref="M68:M69" si="5">D68+G68-J68</f>
        <v>0</v>
      </c>
      <c r="N68" s="649"/>
      <c r="O68" s="650"/>
    </row>
    <row r="69" spans="1:15" ht="23.25" customHeight="1">
      <c r="A69" s="617"/>
      <c r="B69" s="617"/>
      <c r="C69" s="617"/>
      <c r="D69" s="642"/>
      <c r="E69" s="642"/>
      <c r="F69" s="642"/>
      <c r="G69" s="642"/>
      <c r="H69" s="642"/>
      <c r="I69" s="642"/>
      <c r="J69" s="642"/>
      <c r="K69" s="642"/>
      <c r="L69" s="642"/>
      <c r="M69" s="648">
        <f t="shared" si="5"/>
        <v>0</v>
      </c>
      <c r="N69" s="649"/>
      <c r="O69" s="650"/>
    </row>
    <row r="70" spans="1:15" ht="30" customHeight="1">
      <c r="A70" s="635" t="s">
        <v>49</v>
      </c>
      <c r="B70" s="636"/>
      <c r="C70" s="637"/>
      <c r="D70" s="638">
        <f>SUM(D60,D66,D68)</f>
        <v>5537</v>
      </c>
      <c r="E70" s="638"/>
      <c r="F70" s="638"/>
      <c r="G70" s="638">
        <f>SUM(G60,G66,G68)</f>
        <v>0</v>
      </c>
      <c r="H70" s="638"/>
      <c r="I70" s="638"/>
      <c r="J70" s="638">
        <f>SUM(J60,J66,J68)</f>
        <v>3249</v>
      </c>
      <c r="K70" s="638"/>
      <c r="L70" s="638"/>
      <c r="M70" s="638">
        <f>D70+G70-J70</f>
        <v>2288</v>
      </c>
      <c r="N70" s="638"/>
      <c r="O70" s="638"/>
    </row>
    <row r="71" spans="1:15" ht="20.100000000000001" customHeight="1">
      <c r="C71" s="15"/>
      <c r="D71" s="15"/>
      <c r="E71" s="15"/>
    </row>
    <row r="72" spans="1:15" ht="63.9" customHeight="1">
      <c r="C72" s="15"/>
      <c r="D72" s="15"/>
      <c r="E72" s="15"/>
    </row>
    <row r="73" spans="1:15" ht="18" customHeight="1">
      <c r="C73" s="15"/>
      <c r="D73" s="15"/>
      <c r="E73" s="15"/>
    </row>
    <row r="74" spans="1:15" ht="20.100000000000001" customHeight="1">
      <c r="C74" s="15"/>
      <c r="D74" s="15"/>
      <c r="E74" s="15"/>
    </row>
    <row r="75" spans="1:15" ht="20.100000000000001" customHeight="1">
      <c r="C75" s="15"/>
      <c r="D75" s="15"/>
      <c r="E75" s="15"/>
    </row>
    <row r="76" spans="1:15" ht="20.100000000000001" customHeight="1">
      <c r="C76" s="15"/>
      <c r="D76" s="15"/>
      <c r="E76" s="15"/>
    </row>
    <row r="77" spans="1:15" ht="20.100000000000001" customHeight="1">
      <c r="C77" s="15"/>
      <c r="D77" s="15"/>
      <c r="E77" s="15"/>
    </row>
    <row r="78" spans="1:15" ht="20.100000000000001" customHeight="1">
      <c r="C78" s="15"/>
      <c r="D78" s="15"/>
      <c r="E78" s="15"/>
    </row>
    <row r="79" spans="1:15" ht="20.100000000000001" customHeight="1">
      <c r="C79" s="15"/>
      <c r="D79" s="15"/>
      <c r="E79" s="15"/>
    </row>
    <row r="80" spans="1:15" ht="20.100000000000001" customHeight="1">
      <c r="C80" s="15"/>
      <c r="D80" s="15"/>
      <c r="E80" s="15"/>
    </row>
    <row r="81" spans="3:5" ht="20.100000000000001" customHeight="1">
      <c r="C81" s="15"/>
      <c r="D81" s="15"/>
      <c r="E81" s="15"/>
    </row>
    <row r="82" spans="3:5" ht="20.100000000000001" customHeight="1">
      <c r="C82" s="15"/>
      <c r="D82" s="15"/>
      <c r="E82" s="15"/>
    </row>
    <row r="83" spans="3:5" ht="20.100000000000001" customHeight="1">
      <c r="C83" s="15"/>
      <c r="D83" s="15"/>
      <c r="E83" s="15"/>
    </row>
    <row r="84" spans="3:5">
      <c r="C84" s="15"/>
      <c r="D84" s="15"/>
      <c r="E84" s="15"/>
    </row>
  </sheetData>
  <sheetProtection algorithmName="SHA-512" hashValue="OwTADd2/oio1Ep6a1K32nO29IhE4OzScQpB0ZMFY2OZFgzA8uRpTUe8cBBDJu8G07bwsRH21SV8ARZWHCxomAA==" saltValue="4bYQg7HD04FCbpPTyk5mFg==" spinCount="100000" sheet="1" objects="1" scenarios="1" selectLockedCells="1" selectUnlockedCells="1"/>
  <mergeCells count="248">
    <mergeCell ref="M61:O61"/>
    <mergeCell ref="M62:O62"/>
    <mergeCell ref="M63:O63"/>
    <mergeCell ref="D64:F64"/>
    <mergeCell ref="J61:L61"/>
    <mergeCell ref="J62:L62"/>
    <mergeCell ref="M51:O51"/>
    <mergeCell ref="M64:O64"/>
    <mergeCell ref="K52:L52"/>
    <mergeCell ref="M52:O52"/>
    <mergeCell ref="J59:L59"/>
    <mergeCell ref="G60:I60"/>
    <mergeCell ref="M53:O53"/>
    <mergeCell ref="J60:L60"/>
    <mergeCell ref="M60:O60"/>
    <mergeCell ref="D52:E52"/>
    <mergeCell ref="H53:J53"/>
    <mergeCell ref="D53:E53"/>
    <mergeCell ref="F53:G53"/>
    <mergeCell ref="K53:L53"/>
    <mergeCell ref="M58:O58"/>
    <mergeCell ref="K54:L54"/>
    <mergeCell ref="F52:G52"/>
    <mergeCell ref="H52:J52"/>
    <mergeCell ref="A11:C11"/>
    <mergeCell ref="D11:E11"/>
    <mergeCell ref="F19:G19"/>
    <mergeCell ref="F25:G25"/>
    <mergeCell ref="A21:C21"/>
    <mergeCell ref="A24:C24"/>
    <mergeCell ref="A29:J29"/>
    <mergeCell ref="B53:C53"/>
    <mergeCell ref="B50:C50"/>
    <mergeCell ref="A25:C25"/>
    <mergeCell ref="D25:E25"/>
    <mergeCell ref="F21:G21"/>
    <mergeCell ref="H21:I21"/>
    <mergeCell ref="J22:K22"/>
    <mergeCell ref="D23:E23"/>
    <mergeCell ref="F23:G23"/>
    <mergeCell ref="A30:A31"/>
    <mergeCell ref="B51:C51"/>
    <mergeCell ref="H22:I22"/>
    <mergeCell ref="B52:C52"/>
    <mergeCell ref="J9:K9"/>
    <mergeCell ref="D9:E9"/>
    <mergeCell ref="F9:G9"/>
    <mergeCell ref="J10:K10"/>
    <mergeCell ref="F10:G10"/>
    <mergeCell ref="H9:I9"/>
    <mergeCell ref="D12:E12"/>
    <mergeCell ref="F12:G12"/>
    <mergeCell ref="H12:I12"/>
    <mergeCell ref="N9:O9"/>
    <mergeCell ref="D10:E10"/>
    <mergeCell ref="A9:C9"/>
    <mergeCell ref="H10:I10"/>
    <mergeCell ref="L9:M9"/>
    <mergeCell ref="H17:I17"/>
    <mergeCell ref="A18:C18"/>
    <mergeCell ref="D18:E18"/>
    <mergeCell ref="A14:C14"/>
    <mergeCell ref="H15:I15"/>
    <mergeCell ref="H14:I14"/>
    <mergeCell ref="D14:E14"/>
    <mergeCell ref="A15:C15"/>
    <mergeCell ref="F14:G14"/>
    <mergeCell ref="A17:C17"/>
    <mergeCell ref="D15:E15"/>
    <mergeCell ref="F15:G15"/>
    <mergeCell ref="D17:E17"/>
    <mergeCell ref="F16:G16"/>
    <mergeCell ref="H11:I11"/>
    <mergeCell ref="F11:G11"/>
    <mergeCell ref="H13:I13"/>
    <mergeCell ref="D13:E13"/>
    <mergeCell ref="A12:C12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N8:O8"/>
    <mergeCell ref="H8:I8"/>
    <mergeCell ref="L8:M8"/>
    <mergeCell ref="L14:M14"/>
    <mergeCell ref="L13:M13"/>
    <mergeCell ref="A10:C10"/>
    <mergeCell ref="D16:E16"/>
    <mergeCell ref="N16:O16"/>
    <mergeCell ref="J16:K16"/>
    <mergeCell ref="H16:I16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A13:C13"/>
    <mergeCell ref="F13:G13"/>
    <mergeCell ref="J13:K13"/>
    <mergeCell ref="L16:M16"/>
    <mergeCell ref="L17:M17"/>
    <mergeCell ref="F17:G17"/>
    <mergeCell ref="A46:O46"/>
    <mergeCell ref="B47:C47"/>
    <mergeCell ref="N25:O25"/>
    <mergeCell ref="J24:K24"/>
    <mergeCell ref="L24:M24"/>
    <mergeCell ref="N24:O24"/>
    <mergeCell ref="F24:G24"/>
    <mergeCell ref="H24:I24"/>
    <mergeCell ref="H25:I25"/>
    <mergeCell ref="L22:M22"/>
    <mergeCell ref="A19:C19"/>
    <mergeCell ref="J17:K17"/>
    <mergeCell ref="F18:G18"/>
    <mergeCell ref="H18:I18"/>
    <mergeCell ref="J18:K18"/>
    <mergeCell ref="A16:C16"/>
    <mergeCell ref="L19:M19"/>
    <mergeCell ref="A26:O26"/>
    <mergeCell ref="N17:O17"/>
    <mergeCell ref="L18:M18"/>
    <mergeCell ref="N18:O18"/>
    <mergeCell ref="N19:O19"/>
    <mergeCell ref="A20:C20"/>
    <mergeCell ref="D20:E20"/>
    <mergeCell ref="F20:G20"/>
    <mergeCell ref="H20:I20"/>
    <mergeCell ref="J20:K20"/>
    <mergeCell ref="L20:M20"/>
    <mergeCell ref="N20:O20"/>
    <mergeCell ref="A23:C23"/>
    <mergeCell ref="N21:O21"/>
    <mergeCell ref="H19:I19"/>
    <mergeCell ref="J19:K19"/>
    <mergeCell ref="H23:I23"/>
    <mergeCell ref="N22:O22"/>
    <mergeCell ref="J23:K23"/>
    <mergeCell ref="D19:E19"/>
    <mergeCell ref="L23:M23"/>
    <mergeCell ref="N23:O23"/>
    <mergeCell ref="F22:G22"/>
    <mergeCell ref="D21:E21"/>
    <mergeCell ref="A22:C22"/>
    <mergeCell ref="D22:E22"/>
    <mergeCell ref="L21:M21"/>
    <mergeCell ref="J21:K21"/>
    <mergeCell ref="M49:O49"/>
    <mergeCell ref="B49:C49"/>
    <mergeCell ref="D30:F30"/>
    <mergeCell ref="G30:I30"/>
    <mergeCell ref="J30:L30"/>
    <mergeCell ref="M30:O30"/>
    <mergeCell ref="F48:G48"/>
    <mergeCell ref="H48:J48"/>
    <mergeCell ref="D48:E48"/>
    <mergeCell ref="B48:C48"/>
    <mergeCell ref="K48:L48"/>
    <mergeCell ref="B30:C30"/>
    <mergeCell ref="M47:O47"/>
    <mergeCell ref="M48:O48"/>
    <mergeCell ref="D47:E47"/>
    <mergeCell ref="F47:G47"/>
    <mergeCell ref="H47:J47"/>
    <mergeCell ref="D49:E49"/>
    <mergeCell ref="M50:O50"/>
    <mergeCell ref="H50:J50"/>
    <mergeCell ref="D50:E50"/>
    <mergeCell ref="F50:G50"/>
    <mergeCell ref="K50:L50"/>
    <mergeCell ref="M70:O70"/>
    <mergeCell ref="D67:F67"/>
    <mergeCell ref="G66:I66"/>
    <mergeCell ref="D66:F66"/>
    <mergeCell ref="J67:L67"/>
    <mergeCell ref="M67:O67"/>
    <mergeCell ref="J69:L69"/>
    <mergeCell ref="J68:L68"/>
    <mergeCell ref="M66:O66"/>
    <mergeCell ref="M69:O69"/>
    <mergeCell ref="M68:O68"/>
    <mergeCell ref="G67:I67"/>
    <mergeCell ref="J66:L66"/>
    <mergeCell ref="G69:I69"/>
    <mergeCell ref="D69:F69"/>
    <mergeCell ref="D68:F68"/>
    <mergeCell ref="D60:F60"/>
    <mergeCell ref="G58:I58"/>
    <mergeCell ref="J58:L58"/>
    <mergeCell ref="A70:C70"/>
    <mergeCell ref="D70:F70"/>
    <mergeCell ref="G70:I70"/>
    <mergeCell ref="J70:L70"/>
    <mergeCell ref="A66:C66"/>
    <mergeCell ref="A67:C67"/>
    <mergeCell ref="A69:C69"/>
    <mergeCell ref="A68:C68"/>
    <mergeCell ref="G68:I68"/>
    <mergeCell ref="G59:I59"/>
    <mergeCell ref="F51:G51"/>
    <mergeCell ref="H51:J51"/>
    <mergeCell ref="H49:J49"/>
    <mergeCell ref="K49:L49"/>
    <mergeCell ref="A65:C65"/>
    <mergeCell ref="H54:J54"/>
    <mergeCell ref="A63:C63"/>
    <mergeCell ref="A64:C64"/>
    <mergeCell ref="D61:F61"/>
    <mergeCell ref="A62:C62"/>
    <mergeCell ref="M65:O65"/>
    <mergeCell ref="D65:F65"/>
    <mergeCell ref="G65:I65"/>
    <mergeCell ref="J65:L65"/>
    <mergeCell ref="D24:E24"/>
    <mergeCell ref="L25:M25"/>
    <mergeCell ref="J25:K25"/>
    <mergeCell ref="A60:C60"/>
    <mergeCell ref="A59:C59"/>
    <mergeCell ref="B54:C54"/>
    <mergeCell ref="D54:E54"/>
    <mergeCell ref="F54:G54"/>
    <mergeCell ref="A56:O56"/>
    <mergeCell ref="A58:C58"/>
    <mergeCell ref="D58:F58"/>
    <mergeCell ref="D59:F59"/>
    <mergeCell ref="M59:O59"/>
    <mergeCell ref="M54:O54"/>
    <mergeCell ref="J63:L63"/>
    <mergeCell ref="J64:L64"/>
    <mergeCell ref="K47:L47"/>
    <mergeCell ref="D62:F62"/>
    <mergeCell ref="D63:F63"/>
    <mergeCell ref="F49:G49"/>
  </mergeCells>
  <phoneticPr fontId="3" type="noConversion"/>
  <pageMargins left="0.59055118110236227" right="0.59055118110236227" top="0.98425196850393704" bottom="0.59055118110236227" header="0.15748031496062992" footer="0.15748031496062992"/>
  <pageSetup paperSize="9" scale="53" orientation="landscape" r:id="rId1"/>
  <headerFooter alignWithMargins="0"/>
  <ignoredErrors>
    <ignoredError sqref="L23:M25 H25:K25 D23:D25 G22:K22 L12:M12 L22:M22 O10 M10 N11:N13 O11:O25 H23:K23 H24:I24 L15:M21 M13 M14 N15:N25 M11 K24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E58"/>
  <sheetViews>
    <sheetView view="pageBreakPreview" topLeftCell="A4" zoomScale="43" zoomScaleNormal="60" zoomScaleSheetLayoutView="43" workbookViewId="0">
      <selection activeCell="T16" sqref="T16:V16"/>
    </sheetView>
  </sheetViews>
  <sheetFormatPr defaultColWidth="9.109375" defaultRowHeight="21"/>
  <cols>
    <col min="1" max="1" width="8.33203125" style="28" customWidth="1"/>
    <col min="2" max="2" width="26.109375" style="28" customWidth="1"/>
    <col min="3" max="5" width="11.33203125" style="28" customWidth="1"/>
    <col min="6" max="6" width="7" style="28" customWidth="1"/>
    <col min="7" max="7" width="15.33203125" style="28" customWidth="1"/>
    <col min="8" max="10" width="11" style="28" customWidth="1"/>
    <col min="11" max="11" width="14.6640625" style="28" customWidth="1"/>
    <col min="12" max="12" width="15.33203125" style="28" customWidth="1"/>
    <col min="13" max="13" width="8.6640625" style="28" customWidth="1"/>
    <col min="14" max="16" width="11" style="28" customWidth="1"/>
    <col min="17" max="17" width="14.88671875" style="28" customWidth="1"/>
    <col min="18" max="26" width="11" style="28" customWidth="1"/>
    <col min="27" max="27" width="13.88671875" style="28" customWidth="1"/>
    <col min="28" max="28" width="11.33203125" style="28" customWidth="1"/>
    <col min="29" max="31" width="12" style="28" customWidth="1"/>
    <col min="32" max="16384" width="9.109375" style="28"/>
  </cols>
  <sheetData>
    <row r="1" spans="1:31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Q1" s="89"/>
      <c r="R1" s="89"/>
      <c r="S1" s="89"/>
      <c r="T1" s="89"/>
      <c r="U1" s="89"/>
      <c r="AB1" s="733" t="s">
        <v>348</v>
      </c>
      <c r="AC1" s="734"/>
      <c r="AD1" s="734"/>
      <c r="AE1" s="734"/>
    </row>
    <row r="2" spans="1:31" ht="18.75" customHeight="1">
      <c r="B2" s="90" t="s">
        <v>343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</row>
    <row r="3" spans="1:3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736" t="s">
        <v>361</v>
      </c>
      <c r="AE3" s="737"/>
    </row>
    <row r="4" spans="1:31" ht="37.5" customHeight="1">
      <c r="A4" s="544" t="s">
        <v>46</v>
      </c>
      <c r="B4" s="544" t="s">
        <v>132</v>
      </c>
      <c r="C4" s="674" t="s">
        <v>133</v>
      </c>
      <c r="D4" s="675"/>
      <c r="E4" s="675"/>
      <c r="F4" s="676"/>
      <c r="G4" s="674" t="s">
        <v>191</v>
      </c>
      <c r="H4" s="675"/>
      <c r="I4" s="675"/>
      <c r="J4" s="675"/>
      <c r="K4" s="675"/>
      <c r="L4" s="675"/>
      <c r="M4" s="676"/>
      <c r="N4" s="543" t="s">
        <v>134</v>
      </c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1"/>
      <c r="Z4" s="674" t="s">
        <v>695</v>
      </c>
      <c r="AA4" s="675"/>
      <c r="AB4" s="676"/>
      <c r="AC4" s="681" t="s">
        <v>696</v>
      </c>
      <c r="AD4" s="682"/>
      <c r="AE4" s="683"/>
    </row>
    <row r="5" spans="1:31" ht="1.5" hidden="1" customHeight="1">
      <c r="A5" s="716"/>
      <c r="B5" s="716"/>
      <c r="C5" s="704"/>
      <c r="D5" s="677"/>
      <c r="E5" s="677"/>
      <c r="F5" s="678"/>
      <c r="G5" s="704"/>
      <c r="H5" s="677"/>
      <c r="I5" s="677"/>
      <c r="J5" s="677"/>
      <c r="K5" s="677"/>
      <c r="L5" s="677"/>
      <c r="M5" s="678"/>
      <c r="N5" s="439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8"/>
      <c r="Z5" s="677"/>
      <c r="AA5" s="677"/>
      <c r="AB5" s="678"/>
      <c r="AC5" s="684"/>
      <c r="AD5" s="685"/>
      <c r="AE5" s="686"/>
    </row>
    <row r="6" spans="1:31" ht="48" customHeight="1">
      <c r="A6" s="545"/>
      <c r="B6" s="545"/>
      <c r="C6" s="705"/>
      <c r="D6" s="679"/>
      <c r="E6" s="679"/>
      <c r="F6" s="680"/>
      <c r="G6" s="705"/>
      <c r="H6" s="679"/>
      <c r="I6" s="679"/>
      <c r="J6" s="679"/>
      <c r="K6" s="679"/>
      <c r="L6" s="679"/>
      <c r="M6" s="680"/>
      <c r="N6" s="543" t="s">
        <v>692</v>
      </c>
      <c r="O6" s="540"/>
      <c r="P6" s="540"/>
      <c r="Q6" s="541"/>
      <c r="R6" s="543" t="s">
        <v>693</v>
      </c>
      <c r="S6" s="540"/>
      <c r="T6" s="540"/>
      <c r="U6" s="541"/>
      <c r="V6" s="543" t="s">
        <v>694</v>
      </c>
      <c r="W6" s="540"/>
      <c r="X6" s="540"/>
      <c r="Y6" s="541"/>
      <c r="Z6" s="679"/>
      <c r="AA6" s="679"/>
      <c r="AB6" s="680"/>
      <c r="AC6" s="687"/>
      <c r="AD6" s="688"/>
      <c r="AE6" s="689"/>
    </row>
    <row r="7" spans="1:31" ht="27" customHeight="1">
      <c r="A7" s="305">
        <v>1</v>
      </c>
      <c r="B7" s="92">
        <v>2</v>
      </c>
      <c r="C7" s="543">
        <v>3</v>
      </c>
      <c r="D7" s="540"/>
      <c r="E7" s="540"/>
      <c r="F7" s="541"/>
      <c r="G7" s="543">
        <v>4</v>
      </c>
      <c r="H7" s="540"/>
      <c r="I7" s="540"/>
      <c r="J7" s="540"/>
      <c r="K7" s="540"/>
      <c r="L7" s="540"/>
      <c r="M7" s="541"/>
      <c r="N7" s="653">
        <v>5</v>
      </c>
      <c r="O7" s="654"/>
      <c r="P7" s="654"/>
      <c r="Q7" s="655"/>
      <c r="R7" s="653">
        <v>6</v>
      </c>
      <c r="S7" s="654"/>
      <c r="T7" s="654"/>
      <c r="U7" s="655"/>
      <c r="V7" s="653">
        <v>7</v>
      </c>
      <c r="W7" s="654"/>
      <c r="X7" s="654"/>
      <c r="Y7" s="655"/>
      <c r="Z7" s="654">
        <v>8</v>
      </c>
      <c r="AA7" s="654"/>
      <c r="AB7" s="655"/>
      <c r="AC7" s="653">
        <v>9</v>
      </c>
      <c r="AD7" s="654"/>
      <c r="AE7" s="655"/>
    </row>
    <row r="8" spans="1:31" ht="22.5" customHeight="1">
      <c r="A8" s="305"/>
      <c r="B8" s="92"/>
      <c r="C8" s="543"/>
      <c r="D8" s="540"/>
      <c r="E8" s="540"/>
      <c r="F8" s="541"/>
      <c r="G8" s="701"/>
      <c r="H8" s="702"/>
      <c r="I8" s="702"/>
      <c r="J8" s="702"/>
      <c r="K8" s="702"/>
      <c r="L8" s="702"/>
      <c r="M8" s="703"/>
      <c r="N8" s="694"/>
      <c r="O8" s="695"/>
      <c r="P8" s="695"/>
      <c r="Q8" s="696"/>
      <c r="R8" s="694"/>
      <c r="S8" s="695"/>
      <c r="T8" s="695"/>
      <c r="U8" s="696"/>
      <c r="V8" s="694"/>
      <c r="W8" s="695"/>
      <c r="X8" s="695"/>
      <c r="Y8" s="696"/>
      <c r="Z8" s="697"/>
      <c r="AA8" s="697"/>
      <c r="AB8" s="616"/>
      <c r="AC8" s="615"/>
      <c r="AD8" s="697"/>
      <c r="AE8" s="616"/>
    </row>
    <row r="9" spans="1:31" s="356" customFormat="1" ht="29.25" customHeight="1">
      <c r="A9" s="723" t="s">
        <v>49</v>
      </c>
      <c r="B9" s="724"/>
      <c r="C9" s="706"/>
      <c r="D9" s="707"/>
      <c r="E9" s="707"/>
      <c r="F9" s="708"/>
      <c r="G9" s="709"/>
      <c r="H9" s="710"/>
      <c r="I9" s="710"/>
      <c r="J9" s="710"/>
      <c r="K9" s="710"/>
      <c r="L9" s="710"/>
      <c r="M9" s="711"/>
      <c r="N9" s="691">
        <f>SUM(N8:N8)</f>
        <v>0</v>
      </c>
      <c r="O9" s="692"/>
      <c r="P9" s="692"/>
      <c r="Q9" s="693"/>
      <c r="R9" s="691">
        <f>SUM(R8:R8)</f>
        <v>0</v>
      </c>
      <c r="S9" s="692"/>
      <c r="T9" s="692"/>
      <c r="U9" s="693"/>
      <c r="V9" s="691">
        <f>SUM(V8:V8)</f>
        <v>0</v>
      </c>
      <c r="W9" s="692"/>
      <c r="X9" s="692"/>
      <c r="Y9" s="693"/>
      <c r="Z9" s="690"/>
      <c r="AA9" s="690"/>
      <c r="AB9" s="659"/>
      <c r="AC9" s="658"/>
      <c r="AD9" s="690"/>
      <c r="AE9" s="659"/>
    </row>
    <row r="10" spans="1:31" ht="18.7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5"/>
      <c r="N10" s="75"/>
      <c r="O10" s="75"/>
      <c r="P10" s="75"/>
      <c r="Q10" s="93"/>
      <c r="R10" s="93"/>
      <c r="S10" s="93"/>
      <c r="T10" s="93"/>
      <c r="U10" s="93"/>
      <c r="V10" s="93"/>
      <c r="W10" s="94"/>
      <c r="X10" s="94"/>
      <c r="Y10" s="94"/>
      <c r="Z10" s="94"/>
      <c r="AA10" s="94"/>
      <c r="AB10" s="94"/>
      <c r="AC10" s="94"/>
      <c r="AD10" s="94"/>
      <c r="AE10" s="94"/>
    </row>
    <row r="11" spans="1:31" s="90" customFormat="1" ht="18.75" customHeight="1">
      <c r="B11" s="90" t="s">
        <v>344</v>
      </c>
    </row>
    <row r="12" spans="1:31" s="90" customFormat="1" ht="18.75" customHeight="1">
      <c r="AD12" s="297" t="s">
        <v>361</v>
      </c>
    </row>
    <row r="13" spans="1:31" s="55" customFormat="1" ht="30.75" customHeight="1">
      <c r="A13" s="569" t="s">
        <v>46</v>
      </c>
      <c r="B13" s="569" t="s">
        <v>135</v>
      </c>
      <c r="C13" s="551" t="s">
        <v>132</v>
      </c>
      <c r="D13" s="551"/>
      <c r="E13" s="551"/>
      <c r="F13" s="551"/>
      <c r="G13" s="674" t="s">
        <v>191</v>
      </c>
      <c r="H13" s="675"/>
      <c r="I13" s="675"/>
      <c r="J13" s="675"/>
      <c r="K13" s="675"/>
      <c r="L13" s="675"/>
      <c r="M13" s="676"/>
      <c r="N13" s="674" t="s">
        <v>136</v>
      </c>
      <c r="O13" s="675"/>
      <c r="P13" s="676"/>
      <c r="Q13" s="674" t="s">
        <v>134</v>
      </c>
      <c r="R13" s="675"/>
      <c r="S13" s="675"/>
      <c r="T13" s="675"/>
      <c r="U13" s="675"/>
      <c r="V13" s="675"/>
      <c r="W13" s="675"/>
      <c r="X13" s="675"/>
      <c r="Y13" s="676"/>
      <c r="Z13" s="681" t="s">
        <v>695</v>
      </c>
      <c r="AA13" s="682"/>
      <c r="AB13" s="683"/>
      <c r="AC13" s="681" t="s">
        <v>696</v>
      </c>
      <c r="AD13" s="682"/>
      <c r="AE13" s="683"/>
    </row>
    <row r="14" spans="1:31" s="55" customFormat="1" ht="6.75" customHeight="1">
      <c r="A14" s="569"/>
      <c r="B14" s="569"/>
      <c r="C14" s="551"/>
      <c r="D14" s="551"/>
      <c r="E14" s="551"/>
      <c r="F14" s="551"/>
      <c r="G14" s="704"/>
      <c r="H14" s="677"/>
      <c r="I14" s="677"/>
      <c r="J14" s="677"/>
      <c r="K14" s="677"/>
      <c r="L14" s="677"/>
      <c r="M14" s="678"/>
      <c r="N14" s="704"/>
      <c r="O14" s="677"/>
      <c r="P14" s="678"/>
      <c r="Q14" s="551" t="s">
        <v>692</v>
      </c>
      <c r="R14" s="551"/>
      <c r="S14" s="551"/>
      <c r="T14" s="551" t="s">
        <v>693</v>
      </c>
      <c r="U14" s="551"/>
      <c r="V14" s="551"/>
      <c r="W14" s="551" t="s">
        <v>712</v>
      </c>
      <c r="X14" s="551"/>
      <c r="Y14" s="551"/>
      <c r="Z14" s="684"/>
      <c r="AA14" s="685"/>
      <c r="AB14" s="686"/>
      <c r="AC14" s="684"/>
      <c r="AD14" s="685"/>
      <c r="AE14" s="686"/>
    </row>
    <row r="15" spans="1:31" s="55" customFormat="1" ht="38.25" customHeight="1">
      <c r="A15" s="569"/>
      <c r="B15" s="569"/>
      <c r="C15" s="551"/>
      <c r="D15" s="551"/>
      <c r="E15" s="551"/>
      <c r="F15" s="551"/>
      <c r="G15" s="705"/>
      <c r="H15" s="679"/>
      <c r="I15" s="679"/>
      <c r="J15" s="679"/>
      <c r="K15" s="679"/>
      <c r="L15" s="679"/>
      <c r="M15" s="680"/>
      <c r="N15" s="705"/>
      <c r="O15" s="679"/>
      <c r="P15" s="680"/>
      <c r="Q15" s="551"/>
      <c r="R15" s="551"/>
      <c r="S15" s="551"/>
      <c r="T15" s="551"/>
      <c r="U15" s="551"/>
      <c r="V15" s="551"/>
      <c r="W15" s="551"/>
      <c r="X15" s="551"/>
      <c r="Y15" s="551"/>
      <c r="Z15" s="687"/>
      <c r="AA15" s="688"/>
      <c r="AB15" s="689"/>
      <c r="AC15" s="687"/>
      <c r="AD15" s="688"/>
      <c r="AE15" s="689"/>
    </row>
    <row r="16" spans="1:31" s="55" customFormat="1" ht="25.95" customHeight="1">
      <c r="A16" s="486">
        <v>1</v>
      </c>
      <c r="B16" s="486">
        <v>2</v>
      </c>
      <c r="C16" s="543">
        <v>3</v>
      </c>
      <c r="D16" s="540"/>
      <c r="E16" s="540"/>
      <c r="F16" s="541"/>
      <c r="G16" s="543">
        <v>4</v>
      </c>
      <c r="H16" s="540"/>
      <c r="I16" s="540"/>
      <c r="J16" s="540"/>
      <c r="K16" s="540"/>
      <c r="L16" s="540"/>
      <c r="M16" s="541"/>
      <c r="N16" s="543">
        <v>5</v>
      </c>
      <c r="O16" s="540"/>
      <c r="P16" s="541"/>
      <c r="Q16" s="543">
        <v>6</v>
      </c>
      <c r="R16" s="540"/>
      <c r="S16" s="541"/>
      <c r="T16" s="543">
        <v>7</v>
      </c>
      <c r="U16" s="540"/>
      <c r="V16" s="541"/>
      <c r="W16" s="543">
        <v>8</v>
      </c>
      <c r="X16" s="540"/>
      <c r="Y16" s="541"/>
      <c r="Z16" s="543">
        <v>9</v>
      </c>
      <c r="AA16" s="540"/>
      <c r="AB16" s="541"/>
      <c r="AC16" s="543">
        <v>10</v>
      </c>
      <c r="AD16" s="540"/>
      <c r="AE16" s="541"/>
    </row>
    <row r="17" spans="1:31" s="55" customFormat="1" ht="24" customHeight="1">
      <c r="A17" s="95"/>
      <c r="B17" s="96"/>
      <c r="C17" s="720"/>
      <c r="D17" s="720"/>
      <c r="E17" s="720"/>
      <c r="F17" s="720"/>
      <c r="G17" s="701"/>
      <c r="H17" s="702"/>
      <c r="I17" s="702"/>
      <c r="J17" s="702"/>
      <c r="K17" s="702"/>
      <c r="L17" s="702"/>
      <c r="M17" s="703"/>
      <c r="N17" s="725"/>
      <c r="O17" s="726"/>
      <c r="P17" s="727"/>
      <c r="Q17" s="698"/>
      <c r="R17" s="699"/>
      <c r="S17" s="700"/>
      <c r="T17" s="698"/>
      <c r="U17" s="699"/>
      <c r="V17" s="700"/>
      <c r="W17" s="698"/>
      <c r="X17" s="699"/>
      <c r="Y17" s="700"/>
      <c r="Z17" s="697"/>
      <c r="AA17" s="697"/>
      <c r="AB17" s="616"/>
      <c r="AC17" s="697"/>
      <c r="AD17" s="697"/>
      <c r="AE17" s="616"/>
    </row>
    <row r="18" spans="1:31" s="55" customFormat="1" ht="30" customHeight="1">
      <c r="A18" s="721" t="s">
        <v>49</v>
      </c>
      <c r="B18" s="722"/>
      <c r="C18" s="720"/>
      <c r="D18" s="720"/>
      <c r="E18" s="720"/>
      <c r="F18" s="720"/>
      <c r="G18" s="701"/>
      <c r="H18" s="702"/>
      <c r="I18" s="702"/>
      <c r="J18" s="702"/>
      <c r="K18" s="702"/>
      <c r="L18" s="702"/>
      <c r="M18" s="703"/>
      <c r="N18" s="725"/>
      <c r="O18" s="726"/>
      <c r="P18" s="727"/>
      <c r="Q18" s="698">
        <f>SUM(Q17:Q17)</f>
        <v>0</v>
      </c>
      <c r="R18" s="699"/>
      <c r="S18" s="700"/>
      <c r="T18" s="698">
        <f>SUM(T17:T17)</f>
        <v>0</v>
      </c>
      <c r="U18" s="699"/>
      <c r="V18" s="700"/>
      <c r="W18" s="698">
        <f>SUM(W17:W17)</f>
        <v>0</v>
      </c>
      <c r="X18" s="699"/>
      <c r="Y18" s="700"/>
      <c r="Z18" s="697"/>
      <c r="AA18" s="697"/>
      <c r="AB18" s="616"/>
      <c r="AC18" s="697"/>
      <c r="AD18" s="697"/>
      <c r="AE18" s="616"/>
    </row>
    <row r="19" spans="1:31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Q19" s="89"/>
      <c r="R19" s="89"/>
      <c r="S19" s="89"/>
      <c r="T19" s="89"/>
      <c r="U19" s="89"/>
      <c r="AE19" s="89"/>
    </row>
    <row r="20" spans="1:31" s="90" customFormat="1" ht="18.75" customHeight="1">
      <c r="B20" s="90" t="s">
        <v>345</v>
      </c>
    </row>
    <row r="21" spans="1:31">
      <c r="A21" s="30"/>
      <c r="B21" s="30"/>
      <c r="C21" s="30"/>
      <c r="D21" s="30"/>
      <c r="E21" s="30"/>
      <c r="F21" s="30"/>
      <c r="G21" s="30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  <c r="AE21" s="89" t="s">
        <v>316</v>
      </c>
    </row>
    <row r="22" spans="1:31" ht="39" customHeight="1">
      <c r="A22" s="551" t="s">
        <v>46</v>
      </c>
      <c r="B22" s="551" t="s">
        <v>155</v>
      </c>
      <c r="C22" s="551"/>
      <c r="D22" s="551"/>
      <c r="E22" s="551"/>
      <c r="F22" s="551"/>
      <c r="G22" s="551" t="s">
        <v>48</v>
      </c>
      <c r="H22" s="551"/>
      <c r="I22" s="551"/>
      <c r="J22" s="551"/>
      <c r="K22" s="551"/>
      <c r="L22" s="551" t="s">
        <v>76</v>
      </c>
      <c r="M22" s="551"/>
      <c r="N22" s="551"/>
      <c r="O22" s="551"/>
      <c r="P22" s="551"/>
      <c r="Q22" s="551" t="s">
        <v>176</v>
      </c>
      <c r="R22" s="551"/>
      <c r="S22" s="551"/>
      <c r="T22" s="551"/>
      <c r="U22" s="551"/>
      <c r="V22" s="551" t="s">
        <v>96</v>
      </c>
      <c r="W22" s="551"/>
      <c r="X22" s="551"/>
      <c r="Y22" s="551"/>
      <c r="Z22" s="551"/>
      <c r="AA22" s="551" t="s">
        <v>49</v>
      </c>
      <c r="AB22" s="551"/>
      <c r="AC22" s="551"/>
      <c r="AD22" s="551"/>
      <c r="AE22" s="551"/>
    </row>
    <row r="23" spans="1:31" ht="36" customHeight="1">
      <c r="A23" s="551"/>
      <c r="B23" s="551"/>
      <c r="C23" s="551"/>
      <c r="D23" s="551"/>
      <c r="E23" s="551"/>
      <c r="F23" s="551"/>
      <c r="G23" s="551" t="s">
        <v>71</v>
      </c>
      <c r="H23" s="551" t="s">
        <v>77</v>
      </c>
      <c r="I23" s="551"/>
      <c r="J23" s="551"/>
      <c r="K23" s="551"/>
      <c r="L23" s="551" t="s">
        <v>71</v>
      </c>
      <c r="M23" s="551" t="s">
        <v>77</v>
      </c>
      <c r="N23" s="551"/>
      <c r="O23" s="551"/>
      <c r="P23" s="551"/>
      <c r="Q23" s="551" t="s">
        <v>71</v>
      </c>
      <c r="R23" s="551" t="s">
        <v>77</v>
      </c>
      <c r="S23" s="551"/>
      <c r="T23" s="551"/>
      <c r="U23" s="551"/>
      <c r="V23" s="551" t="s">
        <v>71</v>
      </c>
      <c r="W23" s="551" t="s">
        <v>77</v>
      </c>
      <c r="X23" s="551"/>
      <c r="Y23" s="551"/>
      <c r="Z23" s="551"/>
      <c r="AA23" s="551" t="s">
        <v>71</v>
      </c>
      <c r="AB23" s="551" t="s">
        <v>77</v>
      </c>
      <c r="AC23" s="551"/>
      <c r="AD23" s="551"/>
      <c r="AE23" s="551"/>
    </row>
    <row r="24" spans="1:31" ht="44.25" customHeight="1">
      <c r="A24" s="551"/>
      <c r="B24" s="551"/>
      <c r="C24" s="551"/>
      <c r="D24" s="551"/>
      <c r="E24" s="551"/>
      <c r="F24" s="551"/>
      <c r="G24" s="551"/>
      <c r="H24" s="304" t="s">
        <v>65</v>
      </c>
      <c r="I24" s="304" t="s">
        <v>66</v>
      </c>
      <c r="J24" s="304" t="s">
        <v>64</v>
      </c>
      <c r="K24" s="304" t="s">
        <v>63</v>
      </c>
      <c r="L24" s="551"/>
      <c r="M24" s="304" t="s">
        <v>65</v>
      </c>
      <c r="N24" s="304" t="s">
        <v>66</v>
      </c>
      <c r="O24" s="304" t="s">
        <v>64</v>
      </c>
      <c r="P24" s="304" t="s">
        <v>63</v>
      </c>
      <c r="Q24" s="551"/>
      <c r="R24" s="304" t="s">
        <v>65</v>
      </c>
      <c r="S24" s="304" t="s">
        <v>66</v>
      </c>
      <c r="T24" s="304" t="s">
        <v>64</v>
      </c>
      <c r="U24" s="304" t="s">
        <v>63</v>
      </c>
      <c r="V24" s="551"/>
      <c r="W24" s="304" t="s">
        <v>65</v>
      </c>
      <c r="X24" s="304" t="s">
        <v>66</v>
      </c>
      <c r="Y24" s="304" t="s">
        <v>64</v>
      </c>
      <c r="Z24" s="304" t="s">
        <v>63</v>
      </c>
      <c r="AA24" s="551"/>
      <c r="AB24" s="304" t="s">
        <v>65</v>
      </c>
      <c r="AC24" s="304" t="s">
        <v>66</v>
      </c>
      <c r="AD24" s="304" t="s">
        <v>64</v>
      </c>
      <c r="AE24" s="304" t="s">
        <v>63</v>
      </c>
    </row>
    <row r="25" spans="1:31" ht="30" customHeight="1">
      <c r="A25" s="304">
        <v>1</v>
      </c>
      <c r="B25" s="551">
        <v>2</v>
      </c>
      <c r="C25" s="551"/>
      <c r="D25" s="551"/>
      <c r="E25" s="551"/>
      <c r="F25" s="551"/>
      <c r="G25" s="304">
        <v>3</v>
      </c>
      <c r="H25" s="304">
        <v>4</v>
      </c>
      <c r="I25" s="304">
        <v>5</v>
      </c>
      <c r="J25" s="304">
        <v>6</v>
      </c>
      <c r="K25" s="304">
        <v>7</v>
      </c>
      <c r="L25" s="304">
        <v>8</v>
      </c>
      <c r="M25" s="304">
        <v>9</v>
      </c>
      <c r="N25" s="304">
        <v>10</v>
      </c>
      <c r="O25" s="304">
        <v>11</v>
      </c>
      <c r="P25" s="304">
        <v>12</v>
      </c>
      <c r="Q25" s="304">
        <v>13</v>
      </c>
      <c r="R25" s="304">
        <v>14</v>
      </c>
      <c r="S25" s="304">
        <v>15</v>
      </c>
      <c r="T25" s="304">
        <v>16</v>
      </c>
      <c r="U25" s="304">
        <v>17</v>
      </c>
      <c r="V25" s="303">
        <v>18</v>
      </c>
      <c r="W25" s="303">
        <v>19</v>
      </c>
      <c r="X25" s="303">
        <v>20</v>
      </c>
      <c r="Y25" s="303">
        <v>21</v>
      </c>
      <c r="Z25" s="303">
        <v>22</v>
      </c>
      <c r="AA25" s="303">
        <v>23</v>
      </c>
      <c r="AB25" s="303">
        <v>24</v>
      </c>
      <c r="AC25" s="303">
        <v>25</v>
      </c>
      <c r="AD25" s="303">
        <v>26</v>
      </c>
      <c r="AE25" s="303">
        <v>27</v>
      </c>
    </row>
    <row r="26" spans="1:31" s="369" customFormat="1" ht="43.5" hidden="1" customHeight="1">
      <c r="A26" s="272">
        <v>1</v>
      </c>
      <c r="B26" s="730" t="s">
        <v>576</v>
      </c>
      <c r="C26" s="731"/>
      <c r="D26" s="731"/>
      <c r="E26" s="731"/>
      <c r="F26" s="73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>
        <f>SUM(Q27:Q27)</f>
        <v>0</v>
      </c>
      <c r="R26" s="272">
        <f>SUM(R27:R27)</f>
        <v>0</v>
      </c>
      <c r="S26" s="272">
        <f>SUM(S27:S27)</f>
        <v>0</v>
      </c>
      <c r="T26" s="272">
        <f>SUM(T27:T27)</f>
        <v>0</v>
      </c>
      <c r="U26" s="272">
        <f>SUM(U27:U27)</f>
        <v>0</v>
      </c>
      <c r="V26" s="273"/>
      <c r="W26" s="273"/>
      <c r="X26" s="273"/>
      <c r="Y26" s="273"/>
      <c r="Z26" s="273"/>
      <c r="AA26" s="273">
        <f>SUM(AA27:AA27)</f>
        <v>0</v>
      </c>
      <c r="AB26" s="273">
        <f>SUM(AB27:AB27)</f>
        <v>0</v>
      </c>
      <c r="AC26" s="273">
        <f>SUM(AC27:AC27)</f>
        <v>0</v>
      </c>
      <c r="AD26" s="273">
        <f>SUM(AD27:AD27)</f>
        <v>0</v>
      </c>
      <c r="AE26" s="273">
        <f>SUM(AE27:AE27)</f>
        <v>0</v>
      </c>
    </row>
    <row r="27" spans="1:31" ht="30" hidden="1" customHeight="1">
      <c r="A27" s="304"/>
      <c r="B27" s="729"/>
      <c r="C27" s="729"/>
      <c r="D27" s="729"/>
      <c r="E27" s="729"/>
      <c r="F27" s="729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3"/>
      <c r="W27" s="303"/>
      <c r="X27" s="303"/>
      <c r="Y27" s="303"/>
      <c r="Z27" s="303"/>
      <c r="AA27" s="303">
        <f>AB27+AC27+AD27+AE27</f>
        <v>0</v>
      </c>
      <c r="AB27" s="303"/>
      <c r="AC27" s="303"/>
      <c r="AD27" s="303"/>
      <c r="AE27" s="303"/>
    </row>
    <row r="28" spans="1:31" s="369" customFormat="1" ht="46.5" customHeight="1">
      <c r="A28" s="272">
        <v>1</v>
      </c>
      <c r="B28" s="728" t="s">
        <v>577</v>
      </c>
      <c r="C28" s="728"/>
      <c r="D28" s="728"/>
      <c r="E28" s="728"/>
      <c r="F28" s="728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>
        <f>Q29</f>
        <v>80</v>
      </c>
      <c r="R28" s="272">
        <f t="shared" ref="R28:U28" si="0">R29</f>
        <v>20</v>
      </c>
      <c r="S28" s="272">
        <f t="shared" si="0"/>
        <v>20</v>
      </c>
      <c r="T28" s="272">
        <f t="shared" si="0"/>
        <v>20</v>
      </c>
      <c r="U28" s="272">
        <f t="shared" si="0"/>
        <v>20</v>
      </c>
      <c r="V28" s="273"/>
      <c r="W28" s="273"/>
      <c r="X28" s="273"/>
      <c r="Y28" s="273"/>
      <c r="Z28" s="273"/>
      <c r="AA28" s="272">
        <f>AA29</f>
        <v>80</v>
      </c>
      <c r="AB28" s="272">
        <f t="shared" ref="AB28" si="1">AB29</f>
        <v>20</v>
      </c>
      <c r="AC28" s="272">
        <f t="shared" ref="AC28" si="2">AC29</f>
        <v>20</v>
      </c>
      <c r="AD28" s="272">
        <f t="shared" ref="AD28" si="3">AD29</f>
        <v>20</v>
      </c>
      <c r="AE28" s="272">
        <f t="shared" ref="AE28" si="4">AE29</f>
        <v>20</v>
      </c>
    </row>
    <row r="29" spans="1:31" ht="30" customHeight="1">
      <c r="A29" s="88"/>
      <c r="B29" s="725" t="s">
        <v>487</v>
      </c>
      <c r="C29" s="726"/>
      <c r="D29" s="726"/>
      <c r="E29" s="726"/>
      <c r="F29" s="727"/>
      <c r="G29" s="319">
        <f>SUM(H29,I29,J29,K29)</f>
        <v>0</v>
      </c>
      <c r="H29" s="319"/>
      <c r="I29" s="319"/>
      <c r="J29" s="319"/>
      <c r="K29" s="319">
        <v>0</v>
      </c>
      <c r="L29" s="319">
        <f>SUM(M29,N29,O29,P29)</f>
        <v>0</v>
      </c>
      <c r="M29" s="319"/>
      <c r="N29" s="319"/>
      <c r="O29" s="319"/>
      <c r="P29" s="319"/>
      <c r="Q29" s="304">
        <f t="shared" ref="Q29" si="5">R29+S29+T29+U29</f>
        <v>80</v>
      </c>
      <c r="R29" s="274">
        <v>20</v>
      </c>
      <c r="S29" s="274">
        <v>20</v>
      </c>
      <c r="T29" s="274">
        <v>20</v>
      </c>
      <c r="U29" s="274">
        <v>20</v>
      </c>
      <c r="V29" s="319">
        <f>SUM(W29,X29,Y29,Z29)</f>
        <v>0</v>
      </c>
      <c r="W29" s="319"/>
      <c r="X29" s="319"/>
      <c r="Y29" s="319"/>
      <c r="Z29" s="319"/>
      <c r="AA29" s="303">
        <f t="shared" ref="AA29" si="6">AB29+AC29+AD29+AE29</f>
        <v>80</v>
      </c>
      <c r="AB29" s="303">
        <f t="shared" ref="AB29" si="7">H29+M29+R29+W29</f>
        <v>20</v>
      </c>
      <c r="AC29" s="303">
        <f t="shared" ref="AC29:AE29" si="8">I29+N29+S29+X29</f>
        <v>20</v>
      </c>
      <c r="AD29" s="303">
        <f t="shared" si="8"/>
        <v>20</v>
      </c>
      <c r="AE29" s="303">
        <f t="shared" si="8"/>
        <v>20</v>
      </c>
    </row>
    <row r="30" spans="1:31" ht="40.5" customHeight="1">
      <c r="A30" s="717" t="s">
        <v>49</v>
      </c>
      <c r="B30" s="718"/>
      <c r="C30" s="718"/>
      <c r="D30" s="718"/>
      <c r="E30" s="718"/>
      <c r="F30" s="719"/>
      <c r="G30" s="320">
        <f t="shared" ref="G30:P30" si="9">SUM(G29:G29)</f>
        <v>0</v>
      </c>
      <c r="H30" s="320">
        <f t="shared" si="9"/>
        <v>0</v>
      </c>
      <c r="I30" s="320">
        <f t="shared" si="9"/>
        <v>0</v>
      </c>
      <c r="J30" s="320">
        <f t="shared" si="9"/>
        <v>0</v>
      </c>
      <c r="K30" s="320">
        <f t="shared" si="9"/>
        <v>0</v>
      </c>
      <c r="L30" s="320">
        <f t="shared" si="9"/>
        <v>0</v>
      </c>
      <c r="M30" s="320">
        <f t="shared" si="9"/>
        <v>0</v>
      </c>
      <c r="N30" s="320">
        <f t="shared" si="9"/>
        <v>0</v>
      </c>
      <c r="O30" s="320">
        <f t="shared" si="9"/>
        <v>0</v>
      </c>
      <c r="P30" s="320">
        <f t="shared" si="9"/>
        <v>0</v>
      </c>
      <c r="Q30" s="314">
        <f>Q26+Q28</f>
        <v>80</v>
      </c>
      <c r="R30" s="314">
        <f>R26+R28</f>
        <v>20</v>
      </c>
      <c r="S30" s="314">
        <f>S26+S28</f>
        <v>20</v>
      </c>
      <c r="T30" s="314">
        <f>T26+T28</f>
        <v>20</v>
      </c>
      <c r="U30" s="314">
        <f>U26+U28</f>
        <v>20</v>
      </c>
      <c r="V30" s="320">
        <f>SUM(V29:V29)</f>
        <v>0</v>
      </c>
      <c r="W30" s="320">
        <f>SUM(W29:W29)</f>
        <v>0</v>
      </c>
      <c r="X30" s="320">
        <f>SUM(X29:X29)</f>
        <v>0</v>
      </c>
      <c r="Y30" s="320">
        <f>SUM(Y29:Y29)</f>
        <v>0</v>
      </c>
      <c r="Z30" s="320">
        <f>SUM(Z29:Z29)</f>
        <v>0</v>
      </c>
      <c r="AA30" s="314">
        <f>AA26+AA28</f>
        <v>80</v>
      </c>
      <c r="AB30" s="314">
        <f>AB26+AB28</f>
        <v>20</v>
      </c>
      <c r="AC30" s="314">
        <f>AC26+AC28</f>
        <v>20</v>
      </c>
      <c r="AD30" s="314">
        <f>AD26+AD28</f>
        <v>20</v>
      </c>
      <c r="AE30" s="314">
        <f>AE26+AE28</f>
        <v>20</v>
      </c>
    </row>
    <row r="31" spans="1:31" ht="36" customHeight="1">
      <c r="A31" s="656" t="s">
        <v>50</v>
      </c>
      <c r="B31" s="539"/>
      <c r="C31" s="539"/>
      <c r="D31" s="539"/>
      <c r="E31" s="539"/>
      <c r="F31" s="657"/>
      <c r="G31" s="97">
        <f>G30/AA30*100</f>
        <v>0</v>
      </c>
      <c r="H31" s="97"/>
      <c r="I31" s="97"/>
      <c r="J31" s="97"/>
      <c r="K31" s="97"/>
      <c r="L31" s="97">
        <f>L30/AA30*100</f>
        <v>0</v>
      </c>
      <c r="M31" s="97"/>
      <c r="N31" s="97"/>
      <c r="O31" s="97"/>
      <c r="P31" s="97"/>
      <c r="Q31" s="97">
        <f>Q30/AA30*100</f>
        <v>100</v>
      </c>
      <c r="R31" s="97"/>
      <c r="S31" s="97"/>
      <c r="T31" s="97"/>
      <c r="U31" s="97"/>
      <c r="V31" s="97">
        <f>V30/AA30*100</f>
        <v>0</v>
      </c>
      <c r="W31" s="304"/>
      <c r="X31" s="304"/>
      <c r="Y31" s="304"/>
      <c r="Z31" s="304"/>
      <c r="AA31" s="97">
        <f>SUM(G31,L31,Q31,V31)</f>
        <v>100</v>
      </c>
      <c r="AB31" s="304"/>
      <c r="AC31" s="304"/>
      <c r="AD31" s="304"/>
      <c r="AE31" s="304"/>
    </row>
    <row r="32" spans="1:31" ht="20.100000000000001" customHeight="1">
      <c r="A32" s="324"/>
      <c r="B32" s="324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324"/>
      <c r="T32" s="324"/>
      <c r="U32" s="324"/>
      <c r="V32" s="324"/>
      <c r="W32" s="98"/>
      <c r="X32" s="324"/>
      <c r="Y32" s="324"/>
      <c r="Z32" s="324"/>
      <c r="AA32" s="324"/>
    </row>
    <row r="33" spans="1:31" ht="20.100000000000001" customHeight="1">
      <c r="A33" s="87"/>
      <c r="B33" s="8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</row>
    <row r="34" spans="1:31" s="90" customFormat="1" ht="20.100000000000001" customHeight="1">
      <c r="B34" s="90" t="s">
        <v>346</v>
      </c>
    </row>
    <row r="35" spans="1:31" s="301" customFormat="1" ht="20.100000000000001" customHeight="1">
      <c r="A35" s="28"/>
      <c r="B35" s="28"/>
      <c r="C35" s="28"/>
      <c r="D35" s="28"/>
      <c r="E35" s="28"/>
      <c r="F35" s="28"/>
      <c r="G35" s="28"/>
      <c r="H35" s="28"/>
      <c r="I35" s="28"/>
      <c r="K35" s="28"/>
      <c r="AE35" s="89" t="s">
        <v>316</v>
      </c>
    </row>
    <row r="36" spans="1:31" s="370" customFormat="1" ht="34.5" customHeight="1">
      <c r="A36" s="553" t="s">
        <v>46</v>
      </c>
      <c r="B36" s="551" t="s">
        <v>175</v>
      </c>
      <c r="C36" s="551" t="s">
        <v>182</v>
      </c>
      <c r="D36" s="551"/>
      <c r="E36" s="551" t="s">
        <v>140</v>
      </c>
      <c r="F36" s="551"/>
      <c r="G36" s="551" t="s">
        <v>326</v>
      </c>
      <c r="H36" s="551"/>
      <c r="I36" s="551" t="s">
        <v>327</v>
      </c>
      <c r="J36" s="551"/>
      <c r="K36" s="551" t="s">
        <v>711</v>
      </c>
      <c r="L36" s="551"/>
      <c r="M36" s="551"/>
      <c r="N36" s="551"/>
      <c r="O36" s="551"/>
      <c r="P36" s="551"/>
      <c r="Q36" s="551"/>
      <c r="R36" s="551"/>
      <c r="S36" s="551"/>
      <c r="T36" s="551"/>
      <c r="U36" s="551" t="s">
        <v>402</v>
      </c>
      <c r="V36" s="551"/>
      <c r="W36" s="551"/>
      <c r="X36" s="551"/>
      <c r="Y36" s="551"/>
      <c r="Z36" s="551" t="s">
        <v>277</v>
      </c>
      <c r="AA36" s="551"/>
      <c r="AB36" s="551"/>
      <c r="AC36" s="551"/>
      <c r="AD36" s="551"/>
      <c r="AE36" s="551"/>
    </row>
    <row r="37" spans="1:31" s="370" customFormat="1" ht="63.75" customHeight="1">
      <c r="A37" s="553"/>
      <c r="B37" s="551"/>
      <c r="C37" s="551"/>
      <c r="D37" s="551"/>
      <c r="E37" s="551"/>
      <c r="F37" s="551"/>
      <c r="G37" s="551"/>
      <c r="H37" s="551"/>
      <c r="I37" s="551"/>
      <c r="J37" s="551"/>
      <c r="K37" s="551" t="s">
        <v>192</v>
      </c>
      <c r="L37" s="551"/>
      <c r="M37" s="551" t="s">
        <v>193</v>
      </c>
      <c r="N37" s="551"/>
      <c r="O37" s="551" t="s">
        <v>181</v>
      </c>
      <c r="P37" s="551"/>
      <c r="Q37" s="551"/>
      <c r="R37" s="551"/>
      <c r="S37" s="551"/>
      <c r="T37" s="551"/>
      <c r="U37" s="551"/>
      <c r="V37" s="551"/>
      <c r="W37" s="551"/>
      <c r="X37" s="551"/>
      <c r="Y37" s="551"/>
      <c r="Z37" s="551"/>
      <c r="AA37" s="551"/>
      <c r="AB37" s="551"/>
      <c r="AC37" s="551"/>
      <c r="AD37" s="551"/>
      <c r="AE37" s="551"/>
    </row>
    <row r="38" spans="1:31" s="371" customFormat="1" ht="82.5" customHeight="1">
      <c r="A38" s="553"/>
      <c r="B38" s="551"/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551" t="s">
        <v>172</v>
      </c>
      <c r="P38" s="551"/>
      <c r="Q38" s="551" t="s">
        <v>173</v>
      </c>
      <c r="R38" s="551"/>
      <c r="S38" s="551" t="s">
        <v>174</v>
      </c>
      <c r="T38" s="551"/>
      <c r="U38" s="551"/>
      <c r="V38" s="551"/>
      <c r="W38" s="551"/>
      <c r="X38" s="551"/>
      <c r="Y38" s="551"/>
      <c r="Z38" s="551"/>
      <c r="AA38" s="551"/>
      <c r="AB38" s="551"/>
      <c r="AC38" s="551"/>
      <c r="AD38" s="551"/>
      <c r="AE38" s="551"/>
    </row>
    <row r="39" spans="1:31" s="370" customFormat="1" ht="33" customHeight="1">
      <c r="A39" s="303">
        <v>1</v>
      </c>
      <c r="B39" s="304">
        <v>2</v>
      </c>
      <c r="C39" s="551">
        <v>3</v>
      </c>
      <c r="D39" s="551"/>
      <c r="E39" s="551">
        <v>4</v>
      </c>
      <c r="F39" s="551"/>
      <c r="G39" s="551">
        <v>5</v>
      </c>
      <c r="H39" s="551"/>
      <c r="I39" s="551">
        <v>6</v>
      </c>
      <c r="J39" s="551"/>
      <c r="K39" s="543">
        <v>7</v>
      </c>
      <c r="L39" s="541"/>
      <c r="M39" s="543">
        <v>8</v>
      </c>
      <c r="N39" s="541"/>
      <c r="O39" s="551">
        <v>9</v>
      </c>
      <c r="P39" s="551"/>
      <c r="Q39" s="553">
        <v>10</v>
      </c>
      <c r="R39" s="553"/>
      <c r="S39" s="551">
        <v>11</v>
      </c>
      <c r="T39" s="551"/>
      <c r="U39" s="551">
        <v>12</v>
      </c>
      <c r="V39" s="551"/>
      <c r="W39" s="551"/>
      <c r="X39" s="551"/>
      <c r="Y39" s="551"/>
      <c r="Z39" s="551">
        <v>13</v>
      </c>
      <c r="AA39" s="551"/>
      <c r="AB39" s="551"/>
      <c r="AC39" s="551"/>
      <c r="AD39" s="551"/>
      <c r="AE39" s="551"/>
    </row>
    <row r="40" spans="1:31" s="370" customFormat="1" ht="28.5" customHeight="1">
      <c r="A40" s="88"/>
      <c r="B40" s="99"/>
      <c r="C40" s="744"/>
      <c r="D40" s="744"/>
      <c r="E40" s="712"/>
      <c r="F40" s="712"/>
      <c r="G40" s="712"/>
      <c r="H40" s="712"/>
      <c r="I40" s="712"/>
      <c r="J40" s="712"/>
      <c r="K40" s="694"/>
      <c r="L40" s="696"/>
      <c r="M40" s="694">
        <f t="shared" ref="M40" si="10">SUM(O40,Q40,S40)</f>
        <v>0</v>
      </c>
      <c r="N40" s="696"/>
      <c r="O40" s="712"/>
      <c r="P40" s="712"/>
      <c r="Q40" s="712"/>
      <c r="R40" s="712"/>
      <c r="S40" s="712"/>
      <c r="T40" s="712"/>
      <c r="U40" s="714"/>
      <c r="V40" s="714"/>
      <c r="W40" s="714"/>
      <c r="X40" s="714"/>
      <c r="Y40" s="714"/>
      <c r="Z40" s="713"/>
      <c r="AA40" s="713"/>
      <c r="AB40" s="713"/>
      <c r="AC40" s="713"/>
      <c r="AD40" s="713"/>
      <c r="AE40" s="713"/>
    </row>
    <row r="41" spans="1:31" s="370" customFormat="1" ht="32.25" customHeight="1">
      <c r="A41" s="661" t="s">
        <v>49</v>
      </c>
      <c r="B41" s="662"/>
      <c r="C41" s="662"/>
      <c r="D41" s="663"/>
      <c r="E41" s="715">
        <f>SUM(E40:E40)</f>
        <v>0</v>
      </c>
      <c r="F41" s="715"/>
      <c r="G41" s="715">
        <f>SUM(G40:G40)</f>
        <v>0</v>
      </c>
      <c r="H41" s="715"/>
      <c r="I41" s="715">
        <f>SUM(I40:I40)</f>
        <v>0</v>
      </c>
      <c r="J41" s="715"/>
      <c r="K41" s="715">
        <f>SUM(K40:K40)</f>
        <v>0</v>
      </c>
      <c r="L41" s="715"/>
      <c r="M41" s="715">
        <f>SUM(M40:M40)</f>
        <v>0</v>
      </c>
      <c r="N41" s="715"/>
      <c r="O41" s="715">
        <f>SUM(O40:O40)</f>
        <v>0</v>
      </c>
      <c r="P41" s="715"/>
      <c r="Q41" s="715">
        <f>SUM(Q40:Q40)</f>
        <v>0</v>
      </c>
      <c r="R41" s="715"/>
      <c r="S41" s="715">
        <f>SUM(S40:S40)</f>
        <v>0</v>
      </c>
      <c r="T41" s="715"/>
      <c r="U41" s="735"/>
      <c r="V41" s="735"/>
      <c r="W41" s="735"/>
      <c r="X41" s="735"/>
      <c r="Y41" s="735"/>
      <c r="Z41" s="743"/>
      <c r="AA41" s="743"/>
      <c r="AB41" s="743"/>
      <c r="AC41" s="743"/>
      <c r="AD41" s="743"/>
      <c r="AE41" s="743"/>
    </row>
    <row r="42" spans="1:31" ht="20.100000000000001" customHeight="1">
      <c r="A42" s="87"/>
      <c r="B42" s="8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</row>
    <row r="43" spans="1:31" ht="20.100000000000001" customHeight="1">
      <c r="A43" s="87"/>
      <c r="B43" s="8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</row>
    <row r="44" spans="1:31" s="275" customFormat="1" ht="36" customHeight="1">
      <c r="B44" s="740" t="s">
        <v>578</v>
      </c>
      <c r="C44" s="741"/>
      <c r="D44" s="741"/>
      <c r="E44" s="741"/>
      <c r="F44" s="741"/>
      <c r="G44" s="318"/>
      <c r="H44" s="318"/>
      <c r="I44" s="318"/>
      <c r="J44" s="318"/>
      <c r="K44" s="318"/>
      <c r="L44" s="742" t="s">
        <v>157</v>
      </c>
      <c r="M44" s="742"/>
      <c r="N44" s="742"/>
      <c r="O44" s="742"/>
      <c r="P44" s="742"/>
      <c r="Q44" s="252"/>
      <c r="R44" s="252"/>
      <c r="S44" s="252"/>
      <c r="T44" s="252"/>
      <c r="U44" s="252"/>
      <c r="V44" s="523" t="s">
        <v>702</v>
      </c>
      <c r="W44" s="523"/>
      <c r="X44" s="523"/>
      <c r="Y44" s="523"/>
      <c r="Z44" s="523"/>
    </row>
    <row r="45" spans="1:31" s="316" customFormat="1" ht="19.5" customHeight="1">
      <c r="B45" s="276"/>
      <c r="C45" s="316" t="s">
        <v>68</v>
      </c>
      <c r="E45" s="277"/>
      <c r="F45" s="277"/>
      <c r="G45" s="277"/>
      <c r="H45" s="277"/>
      <c r="I45" s="277"/>
      <c r="J45" s="277"/>
      <c r="K45" s="277"/>
      <c r="M45" s="276"/>
      <c r="N45" s="247" t="s">
        <v>69</v>
      </c>
      <c r="O45" s="276"/>
      <c r="Q45" s="277"/>
      <c r="R45" s="277"/>
      <c r="S45" s="277"/>
      <c r="V45" s="520" t="s">
        <v>97</v>
      </c>
      <c r="W45" s="520"/>
      <c r="X45" s="520"/>
      <c r="Y45" s="520"/>
      <c r="Z45" s="520"/>
    </row>
    <row r="46" spans="1:31" ht="20.100000000000001" customHeight="1">
      <c r="B46" s="100"/>
      <c r="C46" s="100"/>
      <c r="D46" s="100"/>
      <c r="E46" s="100"/>
      <c r="F46" s="100"/>
      <c r="G46" s="100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0"/>
      <c r="U46" s="100"/>
    </row>
    <row r="47" spans="1:31" ht="20.100000000000001" customHeight="1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</row>
    <row r="48" spans="1:31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</row>
    <row r="49" spans="1:2" s="739" customFormat="1" ht="19.2" customHeight="1">
      <c r="A49" s="738" t="s">
        <v>321</v>
      </c>
    </row>
    <row r="52" spans="1:2">
      <c r="B52" s="369"/>
    </row>
    <row r="53" spans="1:2">
      <c r="B53" s="369"/>
    </row>
    <row r="54" spans="1:2">
      <c r="B54" s="369"/>
    </row>
    <row r="55" spans="1:2">
      <c r="B55" s="369"/>
    </row>
    <row r="56" spans="1:2">
      <c r="B56" s="369"/>
    </row>
    <row r="57" spans="1:2">
      <c r="B57" s="369"/>
    </row>
    <row r="58" spans="1:2">
      <c r="B58" s="369"/>
    </row>
  </sheetData>
  <sheetProtection algorithmName="SHA-512" hashValue="ImgPUPCvIFoCtahxmdM1HwuqD8IOL4vKmwyoxT7rz33YgctQT5xlz+0n02Vyq3PQ79VWeSW1OqXeYuppt7POhw==" saltValue="Q4iUFATS1uYxSuJYydB23g==" spinCount="100000" sheet="1" objects="1" scenarios="1" selectLockedCells="1" selectUnlockedCells="1"/>
  <mergeCells count="147">
    <mergeCell ref="A49:XFD49"/>
    <mergeCell ref="AC18:AE18"/>
    <mergeCell ref="AC13:AE15"/>
    <mergeCell ref="AC16:AE16"/>
    <mergeCell ref="AC17:AE17"/>
    <mergeCell ref="C13:F15"/>
    <mergeCell ref="C16:F16"/>
    <mergeCell ref="N17:P17"/>
    <mergeCell ref="C17:F17"/>
    <mergeCell ref="T16:V16"/>
    <mergeCell ref="Q17:S17"/>
    <mergeCell ref="G16:M16"/>
    <mergeCell ref="N16:P16"/>
    <mergeCell ref="T17:V17"/>
    <mergeCell ref="V45:Z45"/>
    <mergeCell ref="B44:F44"/>
    <mergeCell ref="L44:P44"/>
    <mergeCell ref="V44:Z44"/>
    <mergeCell ref="Z41:AE41"/>
    <mergeCell ref="A41:D41"/>
    <mergeCell ref="M37:N38"/>
    <mergeCell ref="C40:D40"/>
    <mergeCell ref="E40:F40"/>
    <mergeCell ref="E41:F41"/>
    <mergeCell ref="AB1:AE1"/>
    <mergeCell ref="S41:T41"/>
    <mergeCell ref="U41:Y41"/>
    <mergeCell ref="K36:T36"/>
    <mergeCell ref="N9:Q9"/>
    <mergeCell ref="I40:J40"/>
    <mergeCell ref="H23:K23"/>
    <mergeCell ref="I36:J38"/>
    <mergeCell ref="AD3:AE3"/>
    <mergeCell ref="O37:T37"/>
    <mergeCell ref="S39:T39"/>
    <mergeCell ref="T18:V18"/>
    <mergeCell ref="Q18:S18"/>
    <mergeCell ref="N18:P18"/>
    <mergeCell ref="Z18:AB18"/>
    <mergeCell ref="W18:Y18"/>
    <mergeCell ref="O39:P39"/>
    <mergeCell ref="G36:H38"/>
    <mergeCell ref="K39:L39"/>
    <mergeCell ref="K40:L40"/>
    <mergeCell ref="G39:H39"/>
    <mergeCell ref="K37:L38"/>
    <mergeCell ref="M40:N40"/>
    <mergeCell ref="G41:H41"/>
    <mergeCell ref="A4:A6"/>
    <mergeCell ref="B4:B6"/>
    <mergeCell ref="C4:F6"/>
    <mergeCell ref="A36:A38"/>
    <mergeCell ref="B36:B38"/>
    <mergeCell ref="C36:D38"/>
    <mergeCell ref="A30:F30"/>
    <mergeCell ref="A31:F31"/>
    <mergeCell ref="E36:F38"/>
    <mergeCell ref="A13:A15"/>
    <mergeCell ref="C7:F7"/>
    <mergeCell ref="A22:A24"/>
    <mergeCell ref="C18:F18"/>
    <mergeCell ref="A18:B18"/>
    <mergeCell ref="A9:B9"/>
    <mergeCell ref="B29:F29"/>
    <mergeCell ref="B28:F28"/>
    <mergeCell ref="B27:F27"/>
    <mergeCell ref="B26:F26"/>
    <mergeCell ref="B25:F25"/>
    <mergeCell ref="M41:N41"/>
    <mergeCell ref="O41:P41"/>
    <mergeCell ref="I41:J41"/>
    <mergeCell ref="G4:M6"/>
    <mergeCell ref="C8:F8"/>
    <mergeCell ref="G7:M7"/>
    <mergeCell ref="N6:Q6"/>
    <mergeCell ref="N4:Y4"/>
    <mergeCell ref="R6:U6"/>
    <mergeCell ref="V6:Y6"/>
    <mergeCell ref="V7:Y7"/>
    <mergeCell ref="N7:Q7"/>
    <mergeCell ref="Q41:R41"/>
    <mergeCell ref="L22:P22"/>
    <mergeCell ref="L23:L24"/>
    <mergeCell ref="K41:L41"/>
    <mergeCell ref="G40:H40"/>
    <mergeCell ref="E39:F39"/>
    <mergeCell ref="C39:D39"/>
    <mergeCell ref="I39:J39"/>
    <mergeCell ref="Q39:R39"/>
    <mergeCell ref="O40:P40"/>
    <mergeCell ref="O38:P38"/>
    <mergeCell ref="Q14:S15"/>
    <mergeCell ref="Z39:AE39"/>
    <mergeCell ref="Q40:R40"/>
    <mergeCell ref="M39:N39"/>
    <mergeCell ref="U36:Y38"/>
    <mergeCell ref="U39:Y39"/>
    <mergeCell ref="S40:T40"/>
    <mergeCell ref="Q38:R38"/>
    <mergeCell ref="Z40:AE40"/>
    <mergeCell ref="U40:Y40"/>
    <mergeCell ref="S38:T38"/>
    <mergeCell ref="Z36:AE38"/>
    <mergeCell ref="M23:P23"/>
    <mergeCell ref="G17:M17"/>
    <mergeCell ref="B13:B15"/>
    <mergeCell ref="Z16:AB16"/>
    <mergeCell ref="B22:F24"/>
    <mergeCell ref="V8:Y8"/>
    <mergeCell ref="G13:M15"/>
    <mergeCell ref="G22:K22"/>
    <mergeCell ref="G23:G24"/>
    <mergeCell ref="G8:M8"/>
    <mergeCell ref="C9:F9"/>
    <mergeCell ref="G9:M9"/>
    <mergeCell ref="G18:M18"/>
    <mergeCell ref="Q13:Y13"/>
    <mergeCell ref="Z13:AB15"/>
    <mergeCell ref="Q23:Q24"/>
    <mergeCell ref="AA22:AE22"/>
    <mergeCell ref="V23:V24"/>
    <mergeCell ref="AB23:AE23"/>
    <mergeCell ref="Q16:S16"/>
    <mergeCell ref="N8:Q8"/>
    <mergeCell ref="R23:U23"/>
    <mergeCell ref="N13:P15"/>
    <mergeCell ref="T14:V15"/>
    <mergeCell ref="W14:Y15"/>
    <mergeCell ref="Z4:AB6"/>
    <mergeCell ref="AC4:AE6"/>
    <mergeCell ref="AC7:AE7"/>
    <mergeCell ref="Z9:AB9"/>
    <mergeCell ref="V9:Y9"/>
    <mergeCell ref="V22:Z22"/>
    <mergeCell ref="Q22:U22"/>
    <mergeCell ref="AA23:AA24"/>
    <mergeCell ref="R9:U9"/>
    <mergeCell ref="W16:Y16"/>
    <mergeCell ref="R8:U8"/>
    <mergeCell ref="W23:Z23"/>
    <mergeCell ref="AC9:AE9"/>
    <mergeCell ref="AC8:AE8"/>
    <mergeCell ref="Z8:AB8"/>
    <mergeCell ref="Z7:AB7"/>
    <mergeCell ref="R7:U7"/>
    <mergeCell ref="Z17:AB17"/>
    <mergeCell ref="W17:Y17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37" orientation="landscape" r:id="rId1"/>
  <headerFooter alignWithMargins="0"/>
  <ignoredErrors>
    <ignoredError sqref="H30:P30 N9 R9:Y9 E41:T41 V30:Z30" formulaRange="1"/>
    <ignoredError sqref="AA31:AE31 H31:Z31 AA8:AB8 AA9:AB9 AD8:AE8 AD9:AE9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L15"/>
  <sheetViews>
    <sheetView view="pageBreakPreview" zoomScale="60" zoomScaleNormal="75" workbookViewId="0">
      <selection activeCell="A3" sqref="A3:J3"/>
    </sheetView>
  </sheetViews>
  <sheetFormatPr defaultColWidth="9.109375" defaultRowHeight="18"/>
  <cols>
    <col min="1" max="1" width="39.5546875" style="102" customWidth="1"/>
    <col min="2" max="2" width="12.6640625" style="102" customWidth="1"/>
    <col min="3" max="3" width="18" style="102" customWidth="1"/>
    <col min="4" max="4" width="18.44140625" style="102" customWidth="1"/>
    <col min="5" max="5" width="18.6640625" style="102" customWidth="1"/>
    <col min="6" max="6" width="17.6640625" style="102" customWidth="1"/>
    <col min="7" max="7" width="16.33203125" style="102" customWidth="1"/>
    <col min="8" max="8" width="14" style="102" customWidth="1"/>
    <col min="9" max="9" width="14.88671875" style="102" customWidth="1"/>
    <col min="10" max="10" width="14" style="102" customWidth="1"/>
    <col min="11" max="16384" width="9.109375" style="102"/>
  </cols>
  <sheetData>
    <row r="1" spans="1:12">
      <c r="H1" s="745"/>
      <c r="I1" s="745"/>
      <c r="J1" s="745"/>
    </row>
    <row r="2" spans="1:12">
      <c r="A2" s="3"/>
      <c r="I2" s="746" t="s">
        <v>349</v>
      </c>
      <c r="J2" s="746"/>
    </row>
    <row r="3" spans="1:12" ht="20.399999999999999">
      <c r="A3" s="752" t="s">
        <v>396</v>
      </c>
      <c r="B3" s="752"/>
      <c r="C3" s="752"/>
      <c r="D3" s="752"/>
      <c r="E3" s="752"/>
      <c r="F3" s="752"/>
      <c r="G3" s="752"/>
      <c r="H3" s="752"/>
      <c r="I3" s="752"/>
      <c r="J3" s="752"/>
    </row>
    <row r="4" spans="1:12">
      <c r="A4" s="753" t="s">
        <v>328</v>
      </c>
      <c r="B4" s="753"/>
      <c r="C4" s="753"/>
      <c r="D4" s="753"/>
      <c r="E4" s="753"/>
      <c r="F4" s="753"/>
      <c r="G4" s="753"/>
      <c r="H4" s="753"/>
      <c r="I4" s="753"/>
      <c r="J4" s="753"/>
    </row>
    <row r="5" spans="1:12" ht="32.25" customHeight="1">
      <c r="A5" s="754" t="s">
        <v>164</v>
      </c>
      <c r="B5" s="755" t="s">
        <v>17</v>
      </c>
      <c r="C5" s="546" t="s">
        <v>673</v>
      </c>
      <c r="D5" s="546" t="s">
        <v>674</v>
      </c>
      <c r="E5" s="544" t="s">
        <v>675</v>
      </c>
      <c r="F5" s="551" t="s">
        <v>676</v>
      </c>
      <c r="G5" s="551" t="s">
        <v>329</v>
      </c>
      <c r="H5" s="551"/>
      <c r="I5" s="551"/>
      <c r="J5" s="551"/>
    </row>
    <row r="6" spans="1:12" ht="128.25" customHeight="1">
      <c r="A6" s="754"/>
      <c r="B6" s="756"/>
      <c r="C6" s="547"/>
      <c r="D6" s="547"/>
      <c r="E6" s="545"/>
      <c r="F6" s="551"/>
      <c r="G6" s="440" t="s">
        <v>126</v>
      </c>
      <c r="H6" s="440" t="s">
        <v>127</v>
      </c>
      <c r="I6" s="440" t="s">
        <v>128</v>
      </c>
      <c r="J6" s="440" t="s">
        <v>63</v>
      </c>
    </row>
    <row r="7" spans="1:12" ht="31.5" customHeight="1">
      <c r="A7" s="17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</row>
    <row r="8" spans="1:12" ht="28.5" customHeight="1">
      <c r="A8" s="747" t="s">
        <v>397</v>
      </c>
      <c r="B8" s="748"/>
      <c r="C8" s="748"/>
      <c r="D8" s="748"/>
      <c r="E8" s="748"/>
      <c r="F8" s="748"/>
      <c r="G8" s="748"/>
      <c r="H8" s="748"/>
      <c r="I8" s="748"/>
      <c r="J8" s="749"/>
    </row>
    <row r="9" spans="1:12" ht="53.25" customHeight="1">
      <c r="A9" s="122" t="s">
        <v>331</v>
      </c>
      <c r="B9" s="278">
        <v>6000</v>
      </c>
      <c r="C9" s="137">
        <f t="shared" ref="C9:J9" si="0">SUM(C11:C12)</f>
        <v>0</v>
      </c>
      <c r="D9" s="137">
        <f t="shared" si="0"/>
        <v>0</v>
      </c>
      <c r="E9" s="137">
        <f>D9</f>
        <v>0</v>
      </c>
      <c r="F9" s="137">
        <f t="shared" si="0"/>
        <v>0</v>
      </c>
      <c r="G9" s="137">
        <f t="shared" si="0"/>
        <v>0</v>
      </c>
      <c r="H9" s="137">
        <f t="shared" si="0"/>
        <v>0</v>
      </c>
      <c r="I9" s="137">
        <f t="shared" si="0"/>
        <v>0</v>
      </c>
      <c r="J9" s="137">
        <f t="shared" si="0"/>
        <v>0</v>
      </c>
    </row>
    <row r="10" spans="1:12" ht="32.25" customHeight="1">
      <c r="A10" s="706" t="s">
        <v>333</v>
      </c>
      <c r="B10" s="707"/>
      <c r="C10" s="707"/>
      <c r="D10" s="707"/>
      <c r="E10" s="707"/>
      <c r="F10" s="707"/>
      <c r="G10" s="707"/>
      <c r="H10" s="707"/>
      <c r="I10" s="707"/>
      <c r="J10" s="708"/>
    </row>
    <row r="11" spans="1:12" ht="70.5" customHeight="1">
      <c r="A11" s="20" t="s">
        <v>334</v>
      </c>
      <c r="B11" s="5">
        <v>6010</v>
      </c>
      <c r="C11" s="135"/>
      <c r="D11" s="135"/>
      <c r="E11" s="135"/>
      <c r="F11" s="135">
        <f>SUM(G11:J11)</f>
        <v>0</v>
      </c>
      <c r="G11" s="135"/>
      <c r="H11" s="135"/>
      <c r="I11" s="135"/>
      <c r="J11" s="135"/>
    </row>
    <row r="12" spans="1:12" ht="51" customHeight="1">
      <c r="A12" s="20" t="s">
        <v>332</v>
      </c>
      <c r="B12" s="6">
        <v>6020</v>
      </c>
      <c r="C12" s="135"/>
      <c r="D12" s="135"/>
      <c r="E12" s="135"/>
      <c r="F12" s="135">
        <f>SUM(G12:J12)</f>
        <v>0</v>
      </c>
      <c r="G12" s="135"/>
      <c r="H12" s="135"/>
      <c r="I12" s="135"/>
      <c r="J12" s="135"/>
    </row>
    <row r="13" spans="1:12">
      <c r="A13" s="16"/>
      <c r="B13" s="16"/>
      <c r="C13" s="16"/>
      <c r="D13" s="16"/>
      <c r="E13" s="16"/>
      <c r="F13" s="7"/>
      <c r="G13" s="7"/>
      <c r="H13" s="7"/>
      <c r="I13" s="7"/>
      <c r="J13" s="7"/>
    </row>
    <row r="14" spans="1:12" s="280" customFormat="1" ht="28.5" customHeight="1">
      <c r="A14" s="261" t="s">
        <v>525</v>
      </c>
      <c r="B14" s="270"/>
      <c r="C14" s="750" t="s">
        <v>84</v>
      </c>
      <c r="D14" s="751"/>
      <c r="E14" s="751"/>
      <c r="F14" s="751"/>
      <c r="G14" s="279"/>
      <c r="H14" s="579" t="s">
        <v>702</v>
      </c>
      <c r="I14" s="579"/>
      <c r="J14" s="579"/>
      <c r="K14" s="484"/>
      <c r="L14" s="484"/>
    </row>
    <row r="15" spans="1:12" s="281" customFormat="1" ht="37.5" customHeight="1">
      <c r="A15" s="264" t="s">
        <v>68</v>
      </c>
      <c r="B15" s="265"/>
      <c r="C15" s="580" t="s">
        <v>69</v>
      </c>
      <c r="D15" s="580"/>
      <c r="E15" s="580"/>
      <c r="F15" s="580"/>
      <c r="G15" s="269"/>
      <c r="H15" s="581" t="s">
        <v>82</v>
      </c>
      <c r="I15" s="581"/>
      <c r="J15" s="581"/>
    </row>
  </sheetData>
  <sheetProtection algorithmName="SHA-512" hashValue="0hVYqj318/64HFWxfPDzcumywQCmXcptznk0FTdcD/nu3bcGuw4T/f188b2spiI8K9SWMaAtPCvlmJOwo1P9ow==" saltValue="M024piWx0FDphlZpF0x5Nw==" spinCount="100000" sheet="1" objects="1" scenarios="1" selectLockedCells="1" selectUnlockedCells="1"/>
  <mergeCells count="17">
    <mergeCell ref="H14:J14"/>
    <mergeCell ref="H1:J1"/>
    <mergeCell ref="I2:J2"/>
    <mergeCell ref="A8:J8"/>
    <mergeCell ref="A10:J10"/>
    <mergeCell ref="C15:F15"/>
    <mergeCell ref="H15:J15"/>
    <mergeCell ref="C14:F14"/>
    <mergeCell ref="A3:J3"/>
    <mergeCell ref="A4:J4"/>
    <mergeCell ref="G5:J5"/>
    <mergeCell ref="A5:A6"/>
    <mergeCell ref="B5:B6"/>
    <mergeCell ref="C5:C6"/>
    <mergeCell ref="D5:D6"/>
    <mergeCell ref="E5:E6"/>
    <mergeCell ref="F5:F6"/>
  </mergeCells>
  <pageMargins left="0.59055118110236227" right="0.59055118110236227" top="0.98425196850393704" bottom="0.59055118110236227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0"/>
  <sheetViews>
    <sheetView view="pageBreakPreview" zoomScale="89" zoomScaleNormal="100" zoomScaleSheetLayoutView="89" workbookViewId="0">
      <selection activeCell="E8" sqref="E8"/>
    </sheetView>
  </sheetViews>
  <sheetFormatPr defaultColWidth="9.109375" defaultRowHeight="18"/>
  <cols>
    <col min="1" max="1" width="48.44140625" style="1" customWidth="1"/>
    <col min="2" max="2" width="12" style="18" customWidth="1"/>
    <col min="3" max="3" width="16.109375" style="18" customWidth="1"/>
    <col min="4" max="4" width="16.6640625" style="18" customWidth="1"/>
    <col min="5" max="5" width="16.109375" style="18" customWidth="1"/>
    <col min="6" max="6" width="16" style="18" customWidth="1"/>
    <col min="7" max="7" width="16.33203125" style="1" customWidth="1"/>
    <col min="8" max="8" width="16.88671875" style="1" customWidth="1"/>
    <col min="9" max="9" width="16.109375" style="1" customWidth="1"/>
    <col min="10" max="10" width="16.44140625" style="1" customWidth="1"/>
    <col min="11" max="16384" width="9.109375" style="1"/>
  </cols>
  <sheetData>
    <row r="2" spans="1:11" ht="33.75" customHeight="1">
      <c r="A2" s="759" t="s">
        <v>412</v>
      </c>
      <c r="B2" s="759"/>
      <c r="C2" s="759"/>
      <c r="D2" s="759"/>
      <c r="E2" s="759"/>
      <c r="F2" s="759"/>
      <c r="G2" s="759"/>
      <c r="H2" s="759"/>
    </row>
    <row r="3" spans="1:11" ht="28.5" customHeight="1">
      <c r="A3" s="103"/>
      <c r="B3" s="104"/>
      <c r="C3" s="103"/>
      <c r="D3" s="103"/>
      <c r="E3" s="103"/>
      <c r="F3" s="104"/>
      <c r="G3" s="103"/>
      <c r="H3" s="103"/>
      <c r="J3" s="1" t="s">
        <v>403</v>
      </c>
    </row>
    <row r="4" spans="1:11" ht="41.25" customHeight="1">
      <c r="A4" s="760" t="s">
        <v>164</v>
      </c>
      <c r="B4" s="762" t="s">
        <v>17</v>
      </c>
      <c r="C4" s="762" t="s">
        <v>613</v>
      </c>
      <c r="D4" s="762" t="s">
        <v>610</v>
      </c>
      <c r="E4" s="762" t="s">
        <v>611</v>
      </c>
      <c r="F4" s="764" t="s">
        <v>612</v>
      </c>
      <c r="G4" s="766" t="s">
        <v>329</v>
      </c>
      <c r="H4" s="767"/>
      <c r="I4" s="767"/>
      <c r="J4" s="768"/>
    </row>
    <row r="5" spans="1:11" ht="54" customHeight="1">
      <c r="A5" s="761"/>
      <c r="B5" s="763"/>
      <c r="C5" s="763"/>
      <c r="D5" s="763"/>
      <c r="E5" s="763"/>
      <c r="F5" s="765"/>
      <c r="G5" s="54" t="s">
        <v>126</v>
      </c>
      <c r="H5" s="54" t="s">
        <v>127</v>
      </c>
      <c r="I5" s="54" t="s">
        <v>128</v>
      </c>
      <c r="J5" s="54" t="s">
        <v>63</v>
      </c>
    </row>
    <row r="6" spans="1:11" ht="23.25" customHeight="1">
      <c r="A6" s="105">
        <v>1</v>
      </c>
      <c r="B6" s="106">
        <v>2</v>
      </c>
      <c r="C6" s="106">
        <v>3</v>
      </c>
      <c r="D6" s="106">
        <v>4</v>
      </c>
      <c r="E6" s="106">
        <v>5</v>
      </c>
      <c r="F6" s="106">
        <v>6</v>
      </c>
      <c r="G6" s="106">
        <v>7</v>
      </c>
      <c r="H6" s="106">
        <v>8</v>
      </c>
      <c r="I6" s="17">
        <v>9</v>
      </c>
      <c r="J6" s="17">
        <v>10</v>
      </c>
    </row>
    <row r="7" spans="1:11" ht="68.25" customHeight="1">
      <c r="A7" s="107" t="s">
        <v>413</v>
      </c>
      <c r="B7" s="124">
        <v>6000</v>
      </c>
      <c r="C7" s="137">
        <f>C8</f>
        <v>0</v>
      </c>
      <c r="D7" s="137">
        <f t="shared" ref="D7:J7" si="0">D8</f>
        <v>0</v>
      </c>
      <c r="E7" s="137">
        <f t="shared" si="0"/>
        <v>0</v>
      </c>
      <c r="F7" s="137">
        <f t="shared" si="0"/>
        <v>0</v>
      </c>
      <c r="G7" s="137">
        <f t="shared" si="0"/>
        <v>0</v>
      </c>
      <c r="H7" s="137">
        <f t="shared" si="0"/>
        <v>0</v>
      </c>
      <c r="I7" s="137">
        <f t="shared" si="0"/>
        <v>0</v>
      </c>
      <c r="J7" s="137">
        <f t="shared" si="0"/>
        <v>0</v>
      </c>
    </row>
    <row r="8" spans="1:11" ht="48.75" customHeight="1">
      <c r="A8" s="145" t="s">
        <v>414</v>
      </c>
      <c r="B8" s="124">
        <v>6010</v>
      </c>
      <c r="C8" s="137">
        <f>SUM(C9:C14)</f>
        <v>0</v>
      </c>
      <c r="D8" s="137">
        <f>SUM(D9:D14)</f>
        <v>0</v>
      </c>
      <c r="E8" s="137">
        <f t="shared" ref="E8:E9" si="1">D8</f>
        <v>0</v>
      </c>
      <c r="F8" s="137">
        <f>SUM(G8:J8)</f>
        <v>0</v>
      </c>
      <c r="G8" s="137">
        <f>SUM(G9:G14)</f>
        <v>0</v>
      </c>
      <c r="H8" s="137">
        <f>SUM(H9:H14)</f>
        <v>0</v>
      </c>
      <c r="I8" s="137">
        <f>SUM(I9:I14)</f>
        <v>0</v>
      </c>
      <c r="J8" s="137">
        <f>SUM(J9:J14)</f>
        <v>0</v>
      </c>
    </row>
    <row r="9" spans="1:11" ht="33.75" hidden="1" customHeight="1">
      <c r="A9" s="154" t="s">
        <v>579</v>
      </c>
      <c r="B9" s="106"/>
      <c r="C9" s="155"/>
      <c r="D9" s="135"/>
      <c r="E9" s="135">
        <f t="shared" si="1"/>
        <v>0</v>
      </c>
      <c r="F9" s="135">
        <f t="shared" ref="F9" si="2">SUM(G9:J9)</f>
        <v>0</v>
      </c>
      <c r="G9" s="135"/>
      <c r="H9" s="135"/>
      <c r="I9" s="136"/>
      <c r="J9" s="136"/>
    </row>
    <row r="10" spans="1:11" ht="36" customHeight="1">
      <c r="A10" s="154" t="s">
        <v>514</v>
      </c>
      <c r="B10" s="106"/>
      <c r="C10" s="155"/>
      <c r="D10" s="135"/>
      <c r="E10" s="135"/>
      <c r="F10" s="135"/>
      <c r="G10" s="135"/>
      <c r="H10" s="135"/>
      <c r="I10" s="136"/>
      <c r="J10" s="136"/>
    </row>
    <row r="11" spans="1:11" ht="30.75" hidden="1" customHeight="1">
      <c r="A11" s="154" t="s">
        <v>456</v>
      </c>
      <c r="B11" s="106"/>
      <c r="C11" s="155"/>
      <c r="D11" s="135"/>
      <c r="E11" s="135"/>
      <c r="F11" s="135"/>
      <c r="G11" s="135"/>
      <c r="H11" s="135"/>
      <c r="I11" s="136"/>
      <c r="J11" s="136"/>
    </row>
    <row r="12" spans="1:11" ht="30.75" hidden="1" customHeight="1">
      <c r="A12" s="154" t="s">
        <v>436</v>
      </c>
      <c r="B12" s="106"/>
      <c r="C12" s="155"/>
      <c r="D12" s="135"/>
      <c r="E12" s="135"/>
      <c r="F12" s="135"/>
      <c r="G12" s="135"/>
      <c r="H12" s="135"/>
      <c r="I12" s="136"/>
      <c r="J12" s="136"/>
    </row>
    <row r="13" spans="1:11" ht="30.75" hidden="1" customHeight="1">
      <c r="A13" s="154" t="s">
        <v>435</v>
      </c>
      <c r="B13" s="106"/>
      <c r="C13" s="155"/>
      <c r="D13" s="135"/>
      <c r="E13" s="135"/>
      <c r="F13" s="135"/>
      <c r="G13" s="135"/>
      <c r="H13" s="135"/>
      <c r="I13" s="136"/>
      <c r="J13" s="136"/>
    </row>
    <row r="14" spans="1:11" ht="36" customHeight="1">
      <c r="A14" s="115" t="s">
        <v>450</v>
      </c>
      <c r="B14" s="106"/>
      <c r="C14" s="135"/>
      <c r="D14" s="135"/>
      <c r="E14" s="135"/>
      <c r="F14" s="135"/>
      <c r="G14" s="135"/>
      <c r="H14" s="135"/>
      <c r="I14" s="136"/>
      <c r="J14" s="136"/>
    </row>
    <row r="15" spans="1:11" ht="48" customHeight="1">
      <c r="A15" s="108"/>
      <c r="B15" s="109"/>
      <c r="C15" s="110"/>
      <c r="D15" s="111"/>
      <c r="E15" s="111"/>
      <c r="F15" s="111"/>
      <c r="G15" s="111"/>
      <c r="H15" s="111"/>
    </row>
    <row r="16" spans="1:11" s="244" customFormat="1" ht="26.25" customHeight="1">
      <c r="A16" s="261" t="s">
        <v>525</v>
      </c>
      <c r="B16" s="262"/>
      <c r="C16" s="584" t="s">
        <v>84</v>
      </c>
      <c r="D16" s="584"/>
      <c r="E16" s="584"/>
      <c r="F16" s="263"/>
      <c r="G16" s="579" t="s">
        <v>484</v>
      </c>
      <c r="H16" s="579"/>
      <c r="I16" s="579"/>
      <c r="J16" s="579"/>
      <c r="K16" s="282"/>
    </row>
    <row r="17" spans="1:10" s="267" customFormat="1" ht="15.6">
      <c r="A17" s="264" t="s">
        <v>365</v>
      </c>
      <c r="B17" s="265"/>
      <c r="C17" s="580" t="s">
        <v>405</v>
      </c>
      <c r="D17" s="580"/>
      <c r="E17" s="580"/>
      <c r="F17" s="265"/>
      <c r="G17" s="758" t="s">
        <v>82</v>
      </c>
      <c r="H17" s="758"/>
      <c r="I17" s="758"/>
      <c r="J17" s="758"/>
    </row>
    <row r="18" spans="1:10">
      <c r="A18" s="108"/>
      <c r="B18" s="109"/>
      <c r="C18" s="110"/>
      <c r="D18" s="111"/>
      <c r="E18" s="111"/>
      <c r="F18" s="111" t="s">
        <v>457</v>
      </c>
      <c r="G18" s="111"/>
      <c r="H18" s="111"/>
    </row>
    <row r="19" spans="1:10">
      <c r="A19" s="108"/>
      <c r="B19" s="109"/>
      <c r="C19" s="110"/>
      <c r="D19" s="111"/>
      <c r="E19" s="111"/>
      <c r="F19" s="111"/>
      <c r="G19" s="111"/>
      <c r="H19" s="111"/>
    </row>
    <row r="20" spans="1:10" ht="25.5" customHeight="1">
      <c r="A20" s="108"/>
      <c r="B20" s="109"/>
      <c r="C20" s="110"/>
      <c r="D20" s="111"/>
      <c r="E20" s="111"/>
      <c r="F20" s="111"/>
      <c r="G20" s="111"/>
      <c r="H20" s="111"/>
    </row>
    <row r="21" spans="1:10" s="245" customFormat="1" ht="37.5" customHeight="1">
      <c r="A21" s="757" t="s">
        <v>499</v>
      </c>
      <c r="B21" s="757"/>
      <c r="C21" s="377"/>
      <c r="D21" s="378"/>
      <c r="E21" s="378"/>
      <c r="F21" s="378"/>
      <c r="G21" s="378"/>
      <c r="H21" s="584" t="s">
        <v>500</v>
      </c>
      <c r="I21" s="584"/>
      <c r="J21" s="244"/>
    </row>
    <row r="22" spans="1:10">
      <c r="A22" s="108"/>
      <c r="B22" s="109"/>
      <c r="C22" s="110"/>
      <c r="D22" s="111"/>
      <c r="E22" s="111"/>
      <c r="F22" s="111"/>
      <c r="G22" s="111"/>
      <c r="H22" s="111"/>
    </row>
    <row r="23" spans="1:10">
      <c r="A23" s="108"/>
      <c r="B23" s="109"/>
      <c r="C23" s="110"/>
      <c r="D23" s="111"/>
      <c r="E23" s="111"/>
      <c r="F23" s="111"/>
      <c r="G23" s="111"/>
      <c r="H23" s="111"/>
    </row>
    <row r="24" spans="1:10">
      <c r="A24" s="108"/>
      <c r="B24" s="109"/>
      <c r="C24" s="110"/>
      <c r="D24" s="111"/>
      <c r="E24" s="111"/>
      <c r="F24" s="111"/>
      <c r="G24" s="111"/>
      <c r="H24" s="111"/>
    </row>
    <row r="25" spans="1:10">
      <c r="A25" s="108"/>
      <c r="B25" s="109"/>
      <c r="C25" s="110"/>
      <c r="D25" s="111"/>
      <c r="E25" s="111"/>
      <c r="F25" s="111"/>
      <c r="G25" s="111"/>
      <c r="H25" s="111"/>
    </row>
    <row r="26" spans="1:10">
      <c r="A26" s="108"/>
      <c r="B26" s="109"/>
      <c r="C26" s="110"/>
      <c r="D26" s="111"/>
      <c r="E26" s="111"/>
      <c r="F26" s="111"/>
      <c r="G26" s="111"/>
      <c r="H26" s="111"/>
    </row>
    <row r="27" spans="1:10">
      <c r="A27" s="108"/>
      <c r="B27" s="109"/>
      <c r="C27" s="110"/>
      <c r="D27" s="111"/>
      <c r="E27" s="111"/>
      <c r="F27" s="111"/>
      <c r="G27" s="111"/>
      <c r="H27" s="111"/>
    </row>
    <row r="28" spans="1:10">
      <c r="A28" s="108"/>
      <c r="B28" s="109"/>
      <c r="C28" s="110"/>
      <c r="D28" s="111"/>
      <c r="E28" s="111"/>
      <c r="F28" s="111"/>
      <c r="G28" s="111"/>
      <c r="H28" s="111"/>
    </row>
    <row r="29" spans="1:10">
      <c r="A29" s="108"/>
      <c r="B29" s="109"/>
      <c r="C29" s="110"/>
      <c r="D29" s="111"/>
      <c r="E29" s="111"/>
      <c r="F29" s="111"/>
      <c r="G29" s="111"/>
      <c r="H29" s="111"/>
    </row>
    <row r="30" spans="1:10">
      <c r="A30" s="108"/>
      <c r="B30" s="109"/>
      <c r="C30" s="110"/>
      <c r="D30" s="111"/>
      <c r="E30" s="111"/>
      <c r="F30" s="111"/>
      <c r="G30" s="111"/>
      <c r="H30" s="111"/>
    </row>
    <row r="31" spans="1:10">
      <c r="A31" s="108"/>
      <c r="B31" s="109"/>
      <c r="C31" s="110"/>
      <c r="D31" s="111"/>
      <c r="E31" s="111"/>
      <c r="F31" s="111"/>
      <c r="G31" s="111"/>
      <c r="H31" s="111"/>
    </row>
    <row r="32" spans="1:10">
      <c r="A32" s="108"/>
      <c r="B32" s="109"/>
      <c r="C32" s="110"/>
      <c r="D32" s="111"/>
      <c r="E32" s="111"/>
      <c r="F32" s="111"/>
      <c r="G32" s="111"/>
      <c r="H32" s="111"/>
    </row>
    <row r="33" spans="1:8">
      <c r="A33" s="108"/>
      <c r="B33" s="109"/>
      <c r="C33" s="110"/>
      <c r="D33" s="111"/>
      <c r="E33" s="111"/>
      <c r="F33" s="111"/>
      <c r="G33" s="111"/>
      <c r="H33" s="111"/>
    </row>
    <row r="34" spans="1:8">
      <c r="A34" s="108"/>
      <c r="B34" s="109"/>
      <c r="C34" s="110"/>
      <c r="D34" s="111"/>
      <c r="E34" s="111"/>
      <c r="F34" s="111"/>
      <c r="G34" s="111"/>
      <c r="H34" s="111"/>
    </row>
    <row r="35" spans="1:8">
      <c r="A35" s="108"/>
      <c r="B35" s="109"/>
      <c r="C35" s="110"/>
      <c r="D35" s="111"/>
      <c r="E35" s="111"/>
      <c r="F35" s="111"/>
      <c r="G35" s="111"/>
      <c r="H35" s="111"/>
    </row>
    <row r="36" spans="1:8">
      <c r="A36" s="108"/>
      <c r="B36" s="109"/>
      <c r="C36" s="110"/>
      <c r="D36" s="111"/>
      <c r="E36" s="111"/>
      <c r="F36" s="111"/>
      <c r="G36" s="111"/>
      <c r="H36" s="111"/>
    </row>
    <row r="37" spans="1:8">
      <c r="A37" s="108"/>
      <c r="B37" s="109"/>
      <c r="C37" s="110"/>
      <c r="D37" s="111"/>
      <c r="E37" s="111"/>
      <c r="F37" s="111"/>
      <c r="G37" s="111"/>
      <c r="H37" s="111"/>
    </row>
    <row r="38" spans="1:8">
      <c r="A38" s="108"/>
      <c r="B38" s="109"/>
      <c r="C38" s="110"/>
      <c r="D38" s="111"/>
      <c r="E38" s="111"/>
      <c r="F38" s="111"/>
      <c r="G38" s="111"/>
      <c r="H38" s="111"/>
    </row>
    <row r="39" spans="1:8">
      <c r="A39" s="108"/>
      <c r="B39" s="109"/>
      <c r="C39" s="110"/>
      <c r="D39" s="111"/>
      <c r="E39" s="111"/>
      <c r="F39" s="111"/>
      <c r="G39" s="111"/>
      <c r="H39" s="111"/>
    </row>
    <row r="40" spans="1:8">
      <c r="A40" s="108"/>
      <c r="B40" s="109"/>
      <c r="C40" s="110"/>
      <c r="D40" s="111"/>
      <c r="E40" s="111"/>
      <c r="F40" s="111"/>
      <c r="G40" s="111"/>
      <c r="H40" s="111"/>
    </row>
    <row r="41" spans="1:8">
      <c r="A41" s="108"/>
      <c r="B41" s="109"/>
      <c r="C41" s="110"/>
      <c r="D41" s="111"/>
      <c r="E41" s="111"/>
      <c r="F41" s="111"/>
      <c r="G41" s="111"/>
      <c r="H41" s="111"/>
    </row>
    <row r="42" spans="1:8">
      <c r="A42" s="108"/>
      <c r="B42" s="109"/>
      <c r="C42" s="110"/>
      <c r="D42" s="111"/>
      <c r="E42" s="111"/>
      <c r="F42" s="111"/>
      <c r="G42" s="111"/>
      <c r="H42" s="111"/>
    </row>
    <row r="43" spans="1:8">
      <c r="A43" s="108"/>
      <c r="B43" s="109"/>
      <c r="C43" s="110"/>
      <c r="D43" s="111"/>
      <c r="E43" s="111"/>
      <c r="F43" s="111"/>
      <c r="G43" s="111"/>
      <c r="H43" s="111"/>
    </row>
    <row r="44" spans="1:8">
      <c r="A44" s="108"/>
      <c r="B44" s="109"/>
      <c r="C44" s="110"/>
      <c r="D44" s="111"/>
      <c r="E44" s="111"/>
      <c r="F44" s="111"/>
      <c r="G44" s="111"/>
      <c r="H44" s="111"/>
    </row>
    <row r="45" spans="1:8">
      <c r="A45" s="108"/>
      <c r="B45" s="109"/>
      <c r="C45" s="110"/>
      <c r="D45" s="111"/>
      <c r="E45" s="111"/>
      <c r="F45" s="111"/>
      <c r="G45" s="111"/>
      <c r="H45" s="111"/>
    </row>
    <row r="46" spans="1:8">
      <c r="A46" s="108"/>
      <c r="B46" s="109"/>
      <c r="C46" s="110"/>
      <c r="D46" s="111"/>
      <c r="E46" s="111"/>
      <c r="F46" s="111"/>
      <c r="G46" s="111"/>
      <c r="H46" s="111"/>
    </row>
    <row r="47" spans="1:8">
      <c r="A47" s="108"/>
      <c r="B47" s="109"/>
      <c r="C47" s="110"/>
      <c r="D47" s="111"/>
      <c r="E47" s="111"/>
      <c r="F47" s="111"/>
      <c r="G47" s="111"/>
      <c r="H47" s="111"/>
    </row>
    <row r="48" spans="1:8">
      <c r="A48" s="108"/>
      <c r="B48" s="109"/>
      <c r="C48" s="110"/>
      <c r="D48" s="111"/>
      <c r="E48" s="111"/>
      <c r="F48" s="111"/>
      <c r="G48" s="111"/>
      <c r="H48" s="111"/>
    </row>
    <row r="49" spans="1:8">
      <c r="A49" s="108"/>
      <c r="B49" s="109"/>
      <c r="C49" s="110"/>
      <c r="D49" s="111"/>
      <c r="E49" s="111"/>
      <c r="F49" s="111"/>
      <c r="G49" s="111"/>
      <c r="H49" s="111"/>
    </row>
    <row r="50" spans="1:8">
      <c r="A50" s="108"/>
      <c r="C50" s="19"/>
      <c r="D50" s="112"/>
      <c r="E50" s="112"/>
      <c r="F50" s="112"/>
      <c r="G50" s="112"/>
      <c r="H50" s="112"/>
    </row>
    <row r="51" spans="1:8">
      <c r="A51" s="113"/>
      <c r="C51" s="19"/>
      <c r="D51" s="112"/>
      <c r="E51" s="112"/>
      <c r="F51" s="112"/>
      <c r="G51" s="112"/>
      <c r="H51" s="112"/>
    </row>
    <row r="52" spans="1:8">
      <c r="A52" s="113"/>
      <c r="C52" s="19"/>
      <c r="D52" s="112"/>
      <c r="E52" s="112"/>
      <c r="F52" s="112"/>
      <c r="G52" s="112"/>
      <c r="H52" s="112"/>
    </row>
    <row r="53" spans="1:8">
      <c r="A53" s="113"/>
      <c r="C53" s="19"/>
      <c r="D53" s="112"/>
      <c r="E53" s="112"/>
      <c r="F53" s="112"/>
      <c r="G53" s="112"/>
      <c r="H53" s="112"/>
    </row>
    <row r="54" spans="1:8">
      <c r="A54" s="113"/>
      <c r="C54" s="19"/>
      <c r="D54" s="112"/>
      <c r="E54" s="112"/>
      <c r="F54" s="112"/>
      <c r="G54" s="112"/>
      <c r="H54" s="112"/>
    </row>
    <row r="55" spans="1:8">
      <c r="A55" s="113"/>
      <c r="C55" s="19"/>
      <c r="D55" s="112"/>
      <c r="E55" s="112"/>
      <c r="F55" s="112"/>
      <c r="G55" s="112"/>
      <c r="H55" s="112"/>
    </row>
    <row r="56" spans="1:8">
      <c r="A56" s="113"/>
      <c r="C56" s="19"/>
      <c r="D56" s="112"/>
      <c r="E56" s="112"/>
      <c r="F56" s="112"/>
      <c r="G56" s="112"/>
      <c r="H56" s="112"/>
    </row>
    <row r="57" spans="1:8">
      <c r="A57" s="113"/>
      <c r="C57" s="19"/>
      <c r="D57" s="112"/>
      <c r="E57" s="112"/>
      <c r="F57" s="112"/>
      <c r="G57" s="112"/>
      <c r="H57" s="112"/>
    </row>
    <row r="58" spans="1:8">
      <c r="A58" s="113"/>
      <c r="C58" s="19"/>
      <c r="D58" s="112"/>
      <c r="E58" s="112"/>
      <c r="F58" s="112"/>
      <c r="G58" s="112"/>
      <c r="H58" s="112"/>
    </row>
    <row r="59" spans="1:8">
      <c r="A59" s="113"/>
      <c r="C59" s="19"/>
      <c r="D59" s="112"/>
      <c r="E59" s="112"/>
      <c r="F59" s="112"/>
      <c r="G59" s="112"/>
      <c r="H59" s="112"/>
    </row>
    <row r="60" spans="1:8">
      <c r="A60" s="113"/>
      <c r="C60" s="19"/>
      <c r="D60" s="112"/>
      <c r="E60" s="112"/>
      <c r="F60" s="112"/>
      <c r="G60" s="112"/>
      <c r="H60" s="112"/>
    </row>
    <row r="61" spans="1:8">
      <c r="A61" s="113"/>
      <c r="C61" s="19"/>
      <c r="D61" s="112"/>
      <c r="E61" s="112"/>
      <c r="F61" s="112"/>
      <c r="G61" s="112"/>
      <c r="H61" s="112"/>
    </row>
    <row r="62" spans="1:8">
      <c r="A62" s="113"/>
      <c r="C62" s="19"/>
      <c r="D62" s="112"/>
      <c r="E62" s="112"/>
      <c r="F62" s="112"/>
      <c r="G62" s="112"/>
      <c r="H62" s="112"/>
    </row>
    <row r="63" spans="1:8">
      <c r="A63" s="113"/>
      <c r="C63" s="19"/>
      <c r="D63" s="112"/>
      <c r="E63" s="112"/>
      <c r="F63" s="112"/>
      <c r="G63" s="112"/>
      <c r="H63" s="112"/>
    </row>
    <row r="64" spans="1:8">
      <c r="A64" s="113"/>
      <c r="C64" s="19"/>
      <c r="D64" s="112"/>
      <c r="E64" s="112"/>
      <c r="F64" s="112"/>
      <c r="G64" s="112"/>
      <c r="H64" s="112"/>
    </row>
    <row r="65" spans="1:8">
      <c r="A65" s="113"/>
      <c r="C65" s="19"/>
      <c r="D65" s="112"/>
      <c r="E65" s="112"/>
      <c r="F65" s="112"/>
      <c r="G65" s="112"/>
      <c r="H65" s="112"/>
    </row>
    <row r="66" spans="1:8">
      <c r="A66" s="113"/>
      <c r="C66" s="19"/>
      <c r="D66" s="112"/>
      <c r="E66" s="112"/>
      <c r="F66" s="112"/>
      <c r="G66" s="112"/>
      <c r="H66" s="112"/>
    </row>
    <row r="67" spans="1:8">
      <c r="A67" s="113"/>
      <c r="C67" s="19"/>
      <c r="D67" s="112"/>
      <c r="E67" s="112"/>
      <c r="F67" s="112"/>
      <c r="G67" s="112"/>
      <c r="H67" s="112"/>
    </row>
    <row r="68" spans="1:8">
      <c r="A68" s="113"/>
      <c r="C68" s="19"/>
      <c r="D68" s="112"/>
      <c r="E68" s="112"/>
      <c r="F68" s="112"/>
      <c r="G68" s="112"/>
      <c r="H68" s="112"/>
    </row>
    <row r="69" spans="1:8">
      <c r="A69" s="113"/>
      <c r="C69" s="19"/>
      <c r="D69" s="112"/>
      <c r="E69" s="112"/>
      <c r="F69" s="112"/>
      <c r="G69" s="112"/>
      <c r="H69" s="112"/>
    </row>
    <row r="70" spans="1:8">
      <c r="A70" s="113"/>
      <c r="C70" s="19"/>
      <c r="D70" s="112"/>
      <c r="E70" s="112"/>
      <c r="F70" s="112"/>
      <c r="G70" s="112"/>
      <c r="H70" s="112"/>
    </row>
    <row r="71" spans="1:8">
      <c r="A71" s="113"/>
      <c r="C71" s="19"/>
      <c r="D71" s="112"/>
      <c r="E71" s="112"/>
      <c r="F71" s="112"/>
      <c r="G71" s="112"/>
      <c r="H71" s="112"/>
    </row>
    <row r="72" spans="1:8">
      <c r="A72" s="113"/>
      <c r="C72" s="19"/>
      <c r="D72" s="112"/>
      <c r="E72" s="112"/>
      <c r="F72" s="112"/>
      <c r="G72" s="112"/>
      <c r="H72" s="112"/>
    </row>
    <row r="73" spans="1:8">
      <c r="A73" s="113"/>
    </row>
    <row r="74" spans="1:8">
      <c r="A74" s="114"/>
    </row>
    <row r="75" spans="1:8">
      <c r="A75" s="114"/>
    </row>
    <row r="76" spans="1:8">
      <c r="A76" s="114"/>
    </row>
    <row r="77" spans="1:8">
      <c r="A77" s="114"/>
    </row>
    <row r="78" spans="1:8">
      <c r="A78" s="114"/>
    </row>
    <row r="79" spans="1:8">
      <c r="A79" s="114"/>
    </row>
    <row r="80" spans="1:8">
      <c r="A80" s="114"/>
    </row>
    <row r="81" spans="1:1">
      <c r="A81" s="114"/>
    </row>
    <row r="82" spans="1:1">
      <c r="A82" s="114"/>
    </row>
    <row r="83" spans="1:1">
      <c r="A83" s="114"/>
    </row>
    <row r="84" spans="1:1">
      <c r="A84" s="114"/>
    </row>
    <row r="85" spans="1:1">
      <c r="A85" s="114"/>
    </row>
    <row r="86" spans="1:1">
      <c r="A86" s="114"/>
    </row>
    <row r="87" spans="1:1">
      <c r="A87" s="114"/>
    </row>
    <row r="88" spans="1:1">
      <c r="A88" s="114"/>
    </row>
    <row r="89" spans="1:1">
      <c r="A89" s="114"/>
    </row>
    <row r="90" spans="1:1">
      <c r="A90" s="114"/>
    </row>
    <row r="91" spans="1:1">
      <c r="A91" s="114"/>
    </row>
    <row r="92" spans="1:1">
      <c r="A92" s="114"/>
    </row>
    <row r="93" spans="1:1">
      <c r="A93" s="114"/>
    </row>
    <row r="94" spans="1:1">
      <c r="A94" s="114"/>
    </row>
    <row r="95" spans="1:1">
      <c r="A95" s="114"/>
    </row>
    <row r="96" spans="1:1">
      <c r="A96" s="114"/>
    </row>
    <row r="97" spans="1:1">
      <c r="A97" s="114"/>
    </row>
    <row r="98" spans="1:1">
      <c r="A98" s="114"/>
    </row>
    <row r="99" spans="1:1">
      <c r="A99" s="114"/>
    </row>
    <row r="100" spans="1:1">
      <c r="A100" s="114"/>
    </row>
    <row r="101" spans="1:1">
      <c r="A101" s="114"/>
    </row>
    <row r="102" spans="1:1">
      <c r="A102" s="114"/>
    </row>
    <row r="103" spans="1:1">
      <c r="A103" s="114"/>
    </row>
    <row r="104" spans="1:1">
      <c r="A104" s="114"/>
    </row>
    <row r="105" spans="1:1">
      <c r="A105" s="114"/>
    </row>
    <row r="106" spans="1:1">
      <c r="A106" s="114"/>
    </row>
    <row r="107" spans="1:1">
      <c r="A107" s="114"/>
    </row>
    <row r="108" spans="1:1">
      <c r="A108" s="114"/>
    </row>
    <row r="109" spans="1:1">
      <c r="A109" s="114"/>
    </row>
    <row r="110" spans="1:1">
      <c r="A110" s="114"/>
    </row>
    <row r="111" spans="1:1">
      <c r="A111" s="114"/>
    </row>
    <row r="112" spans="1:1">
      <c r="A112" s="114"/>
    </row>
    <row r="113" spans="1:1">
      <c r="A113" s="114"/>
    </row>
    <row r="114" spans="1:1">
      <c r="A114" s="114"/>
    </row>
    <row r="115" spans="1:1">
      <c r="A115" s="114"/>
    </row>
    <row r="116" spans="1:1">
      <c r="A116" s="114"/>
    </row>
    <row r="117" spans="1:1">
      <c r="A117" s="114"/>
    </row>
    <row r="118" spans="1:1">
      <c r="A118" s="114"/>
    </row>
    <row r="119" spans="1:1">
      <c r="A119" s="114"/>
    </row>
    <row r="120" spans="1:1">
      <c r="A120" s="114"/>
    </row>
    <row r="121" spans="1:1">
      <c r="A121" s="114"/>
    </row>
    <row r="122" spans="1:1">
      <c r="A122" s="114"/>
    </row>
    <row r="123" spans="1:1">
      <c r="A123" s="114"/>
    </row>
    <row r="124" spans="1:1">
      <c r="A124" s="114"/>
    </row>
    <row r="125" spans="1:1">
      <c r="A125" s="114"/>
    </row>
    <row r="126" spans="1:1">
      <c r="A126" s="114"/>
    </row>
    <row r="127" spans="1:1">
      <c r="A127" s="114"/>
    </row>
    <row r="128" spans="1:1">
      <c r="A128" s="114"/>
    </row>
    <row r="129" spans="1:1">
      <c r="A129" s="114"/>
    </row>
    <row r="130" spans="1:1">
      <c r="A130" s="114"/>
    </row>
    <row r="131" spans="1:1">
      <c r="A131" s="114"/>
    </row>
    <row r="132" spans="1:1">
      <c r="A132" s="114"/>
    </row>
    <row r="133" spans="1:1">
      <c r="A133" s="114"/>
    </row>
    <row r="134" spans="1:1">
      <c r="A134" s="114"/>
    </row>
    <row r="135" spans="1:1">
      <c r="A135" s="114"/>
    </row>
    <row r="136" spans="1:1">
      <c r="A136" s="114"/>
    </row>
    <row r="137" spans="1:1">
      <c r="A137" s="114"/>
    </row>
    <row r="138" spans="1:1">
      <c r="A138" s="114"/>
    </row>
    <row r="139" spans="1:1">
      <c r="A139" s="114"/>
    </row>
    <row r="140" spans="1:1">
      <c r="A140" s="114"/>
    </row>
    <row r="141" spans="1:1">
      <c r="A141" s="114"/>
    </row>
    <row r="142" spans="1:1">
      <c r="A142" s="114"/>
    </row>
    <row r="143" spans="1:1">
      <c r="A143" s="114"/>
    </row>
    <row r="144" spans="1:1">
      <c r="A144" s="114"/>
    </row>
    <row r="145" spans="1:1">
      <c r="A145" s="114"/>
    </row>
    <row r="146" spans="1:1">
      <c r="A146" s="114"/>
    </row>
    <row r="147" spans="1:1">
      <c r="A147" s="114"/>
    </row>
    <row r="148" spans="1:1">
      <c r="A148" s="114"/>
    </row>
    <row r="149" spans="1:1">
      <c r="A149" s="114"/>
    </row>
    <row r="150" spans="1:1">
      <c r="A150" s="114"/>
    </row>
    <row r="151" spans="1:1">
      <c r="A151" s="114"/>
    </row>
    <row r="152" spans="1:1">
      <c r="A152" s="114"/>
    </row>
    <row r="153" spans="1:1">
      <c r="A153" s="114"/>
    </row>
    <row r="154" spans="1:1">
      <c r="A154" s="114"/>
    </row>
    <row r="155" spans="1:1">
      <c r="A155" s="114"/>
    </row>
    <row r="156" spans="1:1">
      <c r="A156" s="114"/>
    </row>
    <row r="157" spans="1:1">
      <c r="A157" s="114"/>
    </row>
    <row r="158" spans="1:1">
      <c r="A158" s="114"/>
    </row>
    <row r="159" spans="1:1">
      <c r="A159" s="114"/>
    </row>
    <row r="160" spans="1:1">
      <c r="A160" s="114"/>
    </row>
    <row r="161" spans="1:1">
      <c r="A161" s="114"/>
    </row>
    <row r="162" spans="1:1">
      <c r="A162" s="114"/>
    </row>
    <row r="163" spans="1:1">
      <c r="A163" s="114"/>
    </row>
    <row r="164" spans="1:1">
      <c r="A164" s="114"/>
    </row>
    <row r="165" spans="1:1">
      <c r="A165" s="114"/>
    </row>
    <row r="166" spans="1:1">
      <c r="A166" s="114"/>
    </row>
    <row r="167" spans="1:1">
      <c r="A167" s="114"/>
    </row>
    <row r="168" spans="1:1">
      <c r="A168" s="114"/>
    </row>
    <row r="169" spans="1:1">
      <c r="A169" s="114"/>
    </row>
    <row r="170" spans="1:1">
      <c r="A170" s="114"/>
    </row>
    <row r="171" spans="1:1">
      <c r="A171" s="114"/>
    </row>
    <row r="172" spans="1:1">
      <c r="A172" s="114"/>
    </row>
    <row r="173" spans="1:1">
      <c r="A173" s="114"/>
    </row>
    <row r="174" spans="1:1">
      <c r="A174" s="114"/>
    </row>
    <row r="175" spans="1:1">
      <c r="A175" s="114"/>
    </row>
    <row r="176" spans="1:1">
      <c r="A176" s="114"/>
    </row>
    <row r="177" spans="1:1">
      <c r="A177" s="114"/>
    </row>
    <row r="178" spans="1:1">
      <c r="A178" s="114"/>
    </row>
    <row r="179" spans="1:1">
      <c r="A179" s="114"/>
    </row>
    <row r="180" spans="1:1">
      <c r="A180" s="114"/>
    </row>
    <row r="181" spans="1:1">
      <c r="A181" s="114"/>
    </row>
    <row r="182" spans="1:1">
      <c r="A182" s="114"/>
    </row>
    <row r="183" spans="1:1">
      <c r="A183" s="114"/>
    </row>
    <row r="184" spans="1:1">
      <c r="A184" s="114"/>
    </row>
    <row r="185" spans="1:1">
      <c r="A185" s="114"/>
    </row>
    <row r="186" spans="1:1">
      <c r="A186" s="114"/>
    </row>
    <row r="187" spans="1:1">
      <c r="A187" s="114"/>
    </row>
    <row r="188" spans="1:1">
      <c r="A188" s="114"/>
    </row>
    <row r="189" spans="1:1">
      <c r="A189" s="114"/>
    </row>
    <row r="190" spans="1:1">
      <c r="A190" s="114"/>
    </row>
    <row r="191" spans="1:1">
      <c r="A191" s="114"/>
    </row>
    <row r="192" spans="1:1">
      <c r="A192" s="114"/>
    </row>
    <row r="193" spans="1:1">
      <c r="A193" s="114"/>
    </row>
    <row r="194" spans="1:1">
      <c r="A194" s="114"/>
    </row>
    <row r="195" spans="1:1">
      <c r="A195" s="114"/>
    </row>
    <row r="196" spans="1:1">
      <c r="A196" s="114"/>
    </row>
    <row r="197" spans="1:1">
      <c r="A197" s="114"/>
    </row>
    <row r="198" spans="1:1">
      <c r="A198" s="114"/>
    </row>
    <row r="199" spans="1:1">
      <c r="A199" s="114"/>
    </row>
    <row r="200" spans="1:1">
      <c r="A200" s="114"/>
    </row>
    <row r="201" spans="1:1">
      <c r="A201" s="114"/>
    </row>
    <row r="202" spans="1:1">
      <c r="A202" s="114"/>
    </row>
    <row r="203" spans="1:1">
      <c r="A203" s="114"/>
    </row>
    <row r="204" spans="1:1">
      <c r="A204" s="114"/>
    </row>
    <row r="205" spans="1:1">
      <c r="A205" s="114"/>
    </row>
    <row r="206" spans="1:1">
      <c r="A206" s="114"/>
    </row>
    <row r="207" spans="1:1">
      <c r="A207" s="114"/>
    </row>
    <row r="208" spans="1:1">
      <c r="A208" s="114"/>
    </row>
    <row r="209" spans="1:1">
      <c r="A209" s="114"/>
    </row>
    <row r="210" spans="1:1">
      <c r="A210" s="114"/>
    </row>
    <row r="211" spans="1:1">
      <c r="A211" s="114"/>
    </row>
    <row r="212" spans="1:1">
      <c r="A212" s="114"/>
    </row>
    <row r="213" spans="1:1">
      <c r="A213" s="114"/>
    </row>
    <row r="214" spans="1:1">
      <c r="A214" s="114"/>
    </row>
    <row r="215" spans="1:1">
      <c r="A215" s="114"/>
    </row>
    <row r="216" spans="1:1">
      <c r="A216" s="114"/>
    </row>
    <row r="217" spans="1:1">
      <c r="A217" s="114"/>
    </row>
    <row r="218" spans="1:1">
      <c r="A218" s="114"/>
    </row>
    <row r="219" spans="1:1">
      <c r="A219" s="114"/>
    </row>
    <row r="220" spans="1:1">
      <c r="A220" s="114"/>
    </row>
    <row r="221" spans="1:1">
      <c r="A221" s="114"/>
    </row>
    <row r="222" spans="1:1">
      <c r="A222" s="114"/>
    </row>
    <row r="223" spans="1:1">
      <c r="A223" s="114"/>
    </row>
    <row r="224" spans="1:1">
      <c r="A224" s="114"/>
    </row>
    <row r="225" spans="1:1">
      <c r="A225" s="114"/>
    </row>
    <row r="226" spans="1:1">
      <c r="A226" s="114"/>
    </row>
    <row r="227" spans="1:1">
      <c r="A227" s="114"/>
    </row>
    <row r="228" spans="1:1">
      <c r="A228" s="114"/>
    </row>
    <row r="229" spans="1:1">
      <c r="A229" s="114"/>
    </row>
    <row r="230" spans="1:1">
      <c r="A230" s="114"/>
    </row>
    <row r="231" spans="1:1">
      <c r="A231" s="114"/>
    </row>
    <row r="232" spans="1:1">
      <c r="A232" s="114"/>
    </row>
    <row r="233" spans="1:1">
      <c r="A233" s="114"/>
    </row>
    <row r="234" spans="1:1">
      <c r="A234" s="114"/>
    </row>
    <row r="235" spans="1:1">
      <c r="A235" s="114"/>
    </row>
    <row r="236" spans="1:1">
      <c r="A236" s="114"/>
    </row>
    <row r="237" spans="1:1">
      <c r="A237" s="114"/>
    </row>
    <row r="238" spans="1:1">
      <c r="A238" s="114"/>
    </row>
    <row r="239" spans="1:1">
      <c r="A239" s="114"/>
    </row>
    <row r="240" spans="1:1">
      <c r="A240" s="114"/>
    </row>
  </sheetData>
  <sheetProtection algorithmName="SHA-512" hashValue="w36iY+R7qFb9KVqtO79EwRQlgV4CpTmHb0Q8TE3uTUVtzYbIyL6KyKJ3tcvoRyojbRbt3lyfpvR19lfN7snmkA==" saltValue="nFGCL+hE0dbVBT2DNnUHuw==" spinCount="100000" sheet="1" objects="1" scenarios="1" selectLockedCells="1" selectUnlockedCells="1"/>
  <mergeCells count="14">
    <mergeCell ref="A2:H2"/>
    <mergeCell ref="A4:A5"/>
    <mergeCell ref="B4:B5"/>
    <mergeCell ref="C4:C5"/>
    <mergeCell ref="D4:D5"/>
    <mergeCell ref="E4:E5"/>
    <mergeCell ref="F4:F5"/>
    <mergeCell ref="G4:J4"/>
    <mergeCell ref="A21:B21"/>
    <mergeCell ref="H21:I21"/>
    <mergeCell ref="G17:J17"/>
    <mergeCell ref="G16:J16"/>
    <mergeCell ref="C16:E16"/>
    <mergeCell ref="C17:E17"/>
  </mergeCells>
  <pageMargins left="0.59055118110236227" right="0.59055118110236227" top="0.98425196850393704" bottom="0.59055118110236227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136"/>
  <sheetViews>
    <sheetView topLeftCell="T1" zoomScale="106" zoomScaleNormal="106" workbookViewId="0">
      <pane ySplit="22" topLeftCell="A74" activePane="bottomLeft" state="frozen"/>
      <selection pane="bottomLeft" activeCell="AD78" sqref="AD78"/>
    </sheetView>
  </sheetViews>
  <sheetFormatPr defaultRowHeight="13.2"/>
  <cols>
    <col min="1" max="1" width="8.6640625" customWidth="1"/>
    <col min="2" max="2" width="10.109375" customWidth="1"/>
    <col min="3" max="3" width="10" customWidth="1"/>
    <col min="4" max="4" width="11.44140625" customWidth="1"/>
    <col min="5" max="5" width="10.109375" customWidth="1"/>
    <col min="6" max="6" width="10.33203125" customWidth="1"/>
    <col min="7" max="7" width="10.5546875" customWidth="1"/>
    <col min="8" max="8" width="10.33203125" customWidth="1"/>
    <col min="9" max="9" width="10.109375" customWidth="1"/>
    <col min="10" max="10" width="8.88671875" customWidth="1"/>
    <col min="11" max="11" width="10" customWidth="1"/>
    <col min="12" max="12" width="8.5546875" customWidth="1"/>
    <col min="13" max="13" width="10.109375" customWidth="1"/>
    <col min="14" max="15" width="10.88671875" customWidth="1"/>
    <col min="16" max="16" width="10.44140625" customWidth="1"/>
    <col min="17" max="17" width="10.33203125" customWidth="1"/>
    <col min="18" max="18" width="8.6640625" customWidth="1"/>
    <col min="19" max="19" width="9.6640625" customWidth="1"/>
    <col min="20" max="20" width="9.88671875" customWidth="1"/>
    <col min="21" max="29" width="10" customWidth="1"/>
    <col min="30" max="30" width="11.44140625" customWidth="1"/>
    <col min="31" max="34" width="10" customWidth="1"/>
    <col min="35" max="35" width="10.88671875" customWidth="1"/>
    <col min="36" max="36" width="12.44140625" customWidth="1"/>
    <col min="37" max="37" width="13" customWidth="1"/>
    <col min="38" max="38" width="12" customWidth="1"/>
  </cols>
  <sheetData>
    <row r="1" spans="1:38" ht="13.8" thickBot="1">
      <c r="A1" s="771" t="s">
        <v>491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</row>
    <row r="2" spans="1:38" ht="34.5" customHeight="1" thickBot="1">
      <c r="A2" s="781" t="s">
        <v>46</v>
      </c>
      <c r="B2" s="772" t="s">
        <v>608</v>
      </c>
      <c r="C2" s="773"/>
      <c r="D2" s="774"/>
      <c r="E2" s="775" t="s">
        <v>506</v>
      </c>
      <c r="F2" s="776"/>
      <c r="G2" s="777"/>
      <c r="H2" s="775" t="s">
        <v>507</v>
      </c>
      <c r="I2" s="776"/>
      <c r="J2" s="777"/>
      <c r="K2" s="783" t="s">
        <v>508</v>
      </c>
      <c r="L2" s="784"/>
      <c r="M2" s="785"/>
      <c r="N2" s="786" t="s">
        <v>501</v>
      </c>
      <c r="O2" s="787"/>
      <c r="P2" s="788"/>
      <c r="Q2" s="783" t="s">
        <v>502</v>
      </c>
      <c r="R2" s="784"/>
      <c r="S2" s="785"/>
      <c r="T2" s="772" t="s">
        <v>503</v>
      </c>
      <c r="U2" s="773"/>
      <c r="V2" s="774"/>
      <c r="W2" s="783" t="s">
        <v>504</v>
      </c>
      <c r="X2" s="784"/>
      <c r="Y2" s="785"/>
      <c r="Z2" s="783" t="s">
        <v>505</v>
      </c>
      <c r="AA2" s="784"/>
      <c r="AB2" s="785"/>
      <c r="AC2" s="775" t="s">
        <v>509</v>
      </c>
      <c r="AD2" s="776"/>
      <c r="AE2" s="777"/>
      <c r="AF2" s="775" t="s">
        <v>606</v>
      </c>
      <c r="AG2" s="776"/>
      <c r="AH2" s="777"/>
      <c r="AI2" s="125"/>
      <c r="AJ2" s="778" t="s">
        <v>459</v>
      </c>
      <c r="AK2" s="779"/>
      <c r="AL2" s="780"/>
    </row>
    <row r="3" spans="1:38" ht="40.5" customHeight="1" thickBot="1">
      <c r="A3" s="782"/>
      <c r="B3" s="126" t="s">
        <v>460</v>
      </c>
      <c r="C3" s="127" t="s">
        <v>461</v>
      </c>
      <c r="D3" s="128" t="s">
        <v>462</v>
      </c>
      <c r="E3" s="128" t="s">
        <v>462</v>
      </c>
      <c r="F3" s="127" t="s">
        <v>460</v>
      </c>
      <c r="G3" s="129" t="s">
        <v>461</v>
      </c>
      <c r="H3" s="128" t="s">
        <v>462</v>
      </c>
      <c r="I3" s="127" t="s">
        <v>460</v>
      </c>
      <c r="J3" s="130" t="s">
        <v>461</v>
      </c>
      <c r="K3" s="127" t="s">
        <v>460</v>
      </c>
      <c r="L3" s="127" t="s">
        <v>461</v>
      </c>
      <c r="M3" s="131" t="s">
        <v>462</v>
      </c>
      <c r="N3" s="132" t="s">
        <v>460</v>
      </c>
      <c r="O3" s="132" t="s">
        <v>461</v>
      </c>
      <c r="P3" s="133" t="s">
        <v>462</v>
      </c>
      <c r="Q3" s="127" t="s">
        <v>460</v>
      </c>
      <c r="R3" s="127" t="s">
        <v>461</v>
      </c>
      <c r="S3" s="131" t="s">
        <v>462</v>
      </c>
      <c r="T3" s="127" t="s">
        <v>460</v>
      </c>
      <c r="U3" s="127" t="s">
        <v>461</v>
      </c>
      <c r="V3" s="131" t="s">
        <v>462</v>
      </c>
      <c r="W3" s="127" t="s">
        <v>460</v>
      </c>
      <c r="X3" s="127" t="s">
        <v>461</v>
      </c>
      <c r="Y3" s="131" t="s">
        <v>462</v>
      </c>
      <c r="Z3" s="127" t="s">
        <v>460</v>
      </c>
      <c r="AA3" s="127" t="s">
        <v>461</v>
      </c>
      <c r="AB3" s="131" t="s">
        <v>462</v>
      </c>
      <c r="AC3" s="128" t="s">
        <v>462</v>
      </c>
      <c r="AD3" s="127" t="s">
        <v>460</v>
      </c>
      <c r="AE3" s="130" t="s">
        <v>461</v>
      </c>
      <c r="AF3" s="127" t="s">
        <v>460</v>
      </c>
      <c r="AG3" s="127" t="s">
        <v>461</v>
      </c>
      <c r="AH3" s="131" t="s">
        <v>462</v>
      </c>
      <c r="AI3" s="134"/>
      <c r="AJ3" s="127" t="s">
        <v>460</v>
      </c>
      <c r="AK3" s="127" t="s">
        <v>461</v>
      </c>
      <c r="AL3" s="131" t="s">
        <v>462</v>
      </c>
    </row>
    <row r="4" spans="1:38" ht="13.8" thickBot="1">
      <c r="A4" s="156"/>
      <c r="B4" s="157">
        <f t="shared" ref="B4:AB4" si="0">B9+B22+B39+B56+B73+B90+B107+B124</f>
        <v>2791540</v>
      </c>
      <c r="C4" s="157">
        <f t="shared" si="0"/>
        <v>352732.28</v>
      </c>
      <c r="D4" s="157">
        <f t="shared" si="0"/>
        <v>3144272.28</v>
      </c>
      <c r="E4" s="157">
        <f t="shared" si="0"/>
        <v>2515230</v>
      </c>
      <c r="F4" s="157">
        <f t="shared" si="0"/>
        <v>2117069</v>
      </c>
      <c r="G4" s="157">
        <f t="shared" si="0"/>
        <v>398161</v>
      </c>
      <c r="H4" s="157">
        <f t="shared" si="0"/>
        <v>3185021.4</v>
      </c>
      <c r="I4" s="157">
        <f t="shared" si="0"/>
        <v>2680832</v>
      </c>
      <c r="J4" s="157">
        <f t="shared" si="0"/>
        <v>504189.4</v>
      </c>
      <c r="K4" s="157">
        <f t="shared" si="0"/>
        <v>2000000</v>
      </c>
      <c r="L4" s="157">
        <f t="shared" si="0"/>
        <v>139616.44</v>
      </c>
      <c r="M4" s="157">
        <f t="shared" si="0"/>
        <v>2139616.44</v>
      </c>
      <c r="N4" s="157">
        <f>N9+N22+N39+N56+N73+N90+N107+N124</f>
        <v>2750000</v>
      </c>
      <c r="O4" s="157">
        <f t="shared" si="0"/>
        <v>350136.66</v>
      </c>
      <c r="P4" s="157">
        <f t="shared" si="0"/>
        <v>3100136.66</v>
      </c>
      <c r="Q4" s="157">
        <f t="shared" si="0"/>
        <v>2000000</v>
      </c>
      <c r="R4" s="157">
        <f t="shared" si="0"/>
        <v>139616.44</v>
      </c>
      <c r="S4" s="157">
        <f t="shared" si="0"/>
        <v>2139616.44</v>
      </c>
      <c r="T4" s="157">
        <f t="shared" si="0"/>
        <v>5520000</v>
      </c>
      <c r="U4" s="157">
        <f t="shared" si="0"/>
        <v>1089167.1200000001</v>
      </c>
      <c r="V4" s="157">
        <f t="shared" si="0"/>
        <v>6609167.1200000001</v>
      </c>
      <c r="W4" s="157">
        <f t="shared" si="0"/>
        <v>2500000</v>
      </c>
      <c r="X4" s="157">
        <f t="shared" si="0"/>
        <v>62500.02</v>
      </c>
      <c r="Y4" s="157">
        <f t="shared" si="0"/>
        <v>2562500.02</v>
      </c>
      <c r="Z4" s="157">
        <f t="shared" si="0"/>
        <v>2000000</v>
      </c>
      <c r="AA4" s="157">
        <f t="shared" si="0"/>
        <v>119999.98</v>
      </c>
      <c r="AB4" s="157">
        <f t="shared" si="0"/>
        <v>2119999.98</v>
      </c>
      <c r="AC4" s="157">
        <f>AC9+AC22+AC39+AC56+AC73+AC90+AC107+AC124+AC128</f>
        <v>2289892.5499999998</v>
      </c>
      <c r="AD4" s="157">
        <f t="shared" ref="AD4:AE4" si="1">AD9+AD22+AD39+AD56+AD73+AD90+AD107+AD124+AD128</f>
        <v>1796244</v>
      </c>
      <c r="AE4" s="157">
        <f t="shared" si="1"/>
        <v>493648.55</v>
      </c>
      <c r="AF4" s="157">
        <f>AF73+AF90</f>
        <v>2500000</v>
      </c>
      <c r="AG4" s="157">
        <f t="shared" ref="AG4" si="2">AG73+AG90</f>
        <v>48886.98</v>
      </c>
      <c r="AH4" s="157">
        <f>AH73+AH90</f>
        <v>2548886.98</v>
      </c>
      <c r="AI4" s="158"/>
      <c r="AJ4" s="159"/>
      <c r="AK4" s="159"/>
      <c r="AL4" s="160"/>
    </row>
    <row r="5" spans="1:38" hidden="1">
      <c r="A5" s="161" t="s">
        <v>463</v>
      </c>
      <c r="B5" s="162">
        <v>46526</v>
      </c>
      <c r="C5" s="163">
        <v>9560.07</v>
      </c>
      <c r="D5" s="164">
        <f>B5+C5</f>
        <v>56086.07</v>
      </c>
      <c r="E5" s="165"/>
      <c r="F5" s="165"/>
      <c r="G5" s="166"/>
      <c r="H5" s="167"/>
      <c r="I5" s="165"/>
      <c r="J5" s="168"/>
      <c r="K5" s="169"/>
      <c r="L5" s="170"/>
      <c r="M5" s="166"/>
      <c r="N5" s="167"/>
      <c r="O5" s="165"/>
      <c r="P5" s="166"/>
      <c r="Q5" s="167"/>
      <c r="R5" s="165"/>
      <c r="S5" s="168"/>
      <c r="T5" s="171"/>
      <c r="U5" s="165"/>
      <c r="V5" s="166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161" t="s">
        <v>463</v>
      </c>
      <c r="AJ5" s="172"/>
      <c r="AK5" s="172"/>
      <c r="AL5" s="172"/>
    </row>
    <row r="6" spans="1:38" hidden="1">
      <c r="A6" s="173">
        <v>10</v>
      </c>
      <c r="B6" s="174">
        <v>46526</v>
      </c>
      <c r="C6" s="175">
        <v>11280.88</v>
      </c>
      <c r="D6" s="176">
        <f t="shared" ref="D6:D21" si="3">B6+C6</f>
        <v>57806.879999999997</v>
      </c>
      <c r="E6" s="177"/>
      <c r="F6" s="177"/>
      <c r="G6" s="178"/>
      <c r="H6" s="179"/>
      <c r="I6" s="177"/>
      <c r="J6" s="180"/>
      <c r="K6" s="181"/>
      <c r="L6" s="182"/>
      <c r="M6" s="178"/>
      <c r="N6" s="179"/>
      <c r="O6" s="177"/>
      <c r="P6" s="178"/>
      <c r="Q6" s="179"/>
      <c r="R6" s="177"/>
      <c r="S6" s="180"/>
      <c r="T6" s="183"/>
      <c r="U6" s="177"/>
      <c r="V6" s="178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173">
        <v>10</v>
      </c>
      <c r="AJ6" s="172"/>
      <c r="AK6" s="172"/>
      <c r="AL6" s="172"/>
    </row>
    <row r="7" spans="1:38" hidden="1">
      <c r="A7" s="173">
        <v>11</v>
      </c>
      <c r="B7" s="174">
        <v>46526</v>
      </c>
      <c r="C7" s="175">
        <v>11459.33</v>
      </c>
      <c r="D7" s="176">
        <f t="shared" si="3"/>
        <v>57985.33</v>
      </c>
      <c r="E7" s="177"/>
      <c r="F7" s="177"/>
      <c r="G7" s="178"/>
      <c r="H7" s="179"/>
      <c r="I7" s="177"/>
      <c r="J7" s="180"/>
      <c r="K7" s="181"/>
      <c r="L7" s="182"/>
      <c r="M7" s="178"/>
      <c r="N7" s="179"/>
      <c r="O7" s="177"/>
      <c r="P7" s="178"/>
      <c r="Q7" s="179"/>
      <c r="R7" s="177"/>
      <c r="S7" s="180"/>
      <c r="T7" s="183"/>
      <c r="U7" s="177"/>
      <c r="V7" s="178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173">
        <v>11</v>
      </c>
      <c r="AJ7" s="172"/>
      <c r="AK7" s="172"/>
      <c r="AL7" s="172"/>
    </row>
    <row r="8" spans="1:38" hidden="1">
      <c r="A8" s="173">
        <f t="shared" ref="A8:A21" si="4">A7+1</f>
        <v>12</v>
      </c>
      <c r="B8" s="174">
        <v>46526</v>
      </c>
      <c r="C8" s="175">
        <v>10898.47</v>
      </c>
      <c r="D8" s="176">
        <f t="shared" si="3"/>
        <v>57424.47</v>
      </c>
      <c r="E8" s="177"/>
      <c r="F8" s="177"/>
      <c r="G8" s="178"/>
      <c r="H8" s="179"/>
      <c r="I8" s="177"/>
      <c r="J8" s="180"/>
      <c r="K8" s="181"/>
      <c r="L8" s="182"/>
      <c r="M8" s="178"/>
      <c r="N8" s="179"/>
      <c r="O8" s="177"/>
      <c r="P8" s="178"/>
      <c r="Q8" s="179"/>
      <c r="R8" s="177"/>
      <c r="S8" s="180"/>
      <c r="T8" s="183"/>
      <c r="U8" s="177"/>
      <c r="V8" s="178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173">
        <f t="shared" ref="AI8:AI21" si="5">AI7+1</f>
        <v>12</v>
      </c>
      <c r="AJ8" s="172"/>
      <c r="AK8" s="172"/>
      <c r="AL8" s="172"/>
    </row>
    <row r="9" spans="1:38" hidden="1">
      <c r="A9" s="184" t="s">
        <v>464</v>
      </c>
      <c r="B9" s="185">
        <f>SUM(B5:B8)</f>
        <v>186104</v>
      </c>
      <c r="C9" s="185">
        <f>SUM(C5:C8)</f>
        <v>43198.75</v>
      </c>
      <c r="D9" s="185">
        <f>SUM(D5:D8)</f>
        <v>229302.75</v>
      </c>
      <c r="E9" s="177"/>
      <c r="F9" s="177"/>
      <c r="G9" s="178"/>
      <c r="H9" s="179"/>
      <c r="I9" s="177"/>
      <c r="J9" s="180"/>
      <c r="K9" s="181"/>
      <c r="L9" s="182"/>
      <c r="M9" s="178"/>
      <c r="N9" s="179"/>
      <c r="O9" s="177"/>
      <c r="P9" s="178"/>
      <c r="Q9" s="179"/>
      <c r="R9" s="177"/>
      <c r="S9" s="180"/>
      <c r="T9" s="183"/>
      <c r="U9" s="177"/>
      <c r="V9" s="178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184" t="s">
        <v>464</v>
      </c>
      <c r="AJ9" s="172"/>
      <c r="AK9" s="172"/>
      <c r="AL9" s="172"/>
    </row>
    <row r="10" spans="1:38" hidden="1">
      <c r="A10" s="173" t="s">
        <v>465</v>
      </c>
      <c r="B10" s="174">
        <v>46526</v>
      </c>
      <c r="C10" s="175">
        <v>11064.18</v>
      </c>
      <c r="D10" s="176">
        <f t="shared" si="3"/>
        <v>57590.18</v>
      </c>
      <c r="E10" s="177"/>
      <c r="F10" s="177"/>
      <c r="G10" s="178"/>
      <c r="H10" s="179"/>
      <c r="I10" s="177"/>
      <c r="J10" s="180"/>
      <c r="K10" s="181"/>
      <c r="L10" s="182"/>
      <c r="M10" s="178"/>
      <c r="N10" s="179"/>
      <c r="O10" s="177"/>
      <c r="P10" s="178"/>
      <c r="Q10" s="179"/>
      <c r="R10" s="177"/>
      <c r="S10" s="180"/>
      <c r="T10" s="183"/>
      <c r="U10" s="177"/>
      <c r="V10" s="178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173" t="s">
        <v>465</v>
      </c>
      <c r="AJ10" s="172"/>
      <c r="AK10" s="172"/>
      <c r="AL10" s="172"/>
    </row>
    <row r="11" spans="1:38" hidden="1">
      <c r="A11" s="173">
        <v>2</v>
      </c>
      <c r="B11" s="174">
        <v>46526</v>
      </c>
      <c r="C11" s="175">
        <v>10866.6</v>
      </c>
      <c r="D11" s="176">
        <f t="shared" si="3"/>
        <v>57392.6</v>
      </c>
      <c r="E11" s="177"/>
      <c r="F11" s="177"/>
      <c r="G11" s="178"/>
      <c r="H11" s="179"/>
      <c r="I11" s="177"/>
      <c r="J11" s="180"/>
      <c r="K11" s="181"/>
      <c r="L11" s="182"/>
      <c r="M11" s="178"/>
      <c r="N11" s="179"/>
      <c r="O11" s="177"/>
      <c r="P11" s="178"/>
      <c r="Q11" s="179"/>
      <c r="R11" s="177"/>
      <c r="S11" s="180"/>
      <c r="T11" s="183"/>
      <c r="U11" s="177"/>
      <c r="V11" s="178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173">
        <v>2</v>
      </c>
      <c r="AJ11" s="172"/>
      <c r="AK11" s="172"/>
      <c r="AL11" s="172"/>
    </row>
    <row r="12" spans="1:38" hidden="1">
      <c r="A12" s="173">
        <f t="shared" si="4"/>
        <v>3</v>
      </c>
      <c r="B12" s="174">
        <v>46526</v>
      </c>
      <c r="C12" s="175">
        <v>9636.5400000000009</v>
      </c>
      <c r="D12" s="176">
        <f t="shared" si="3"/>
        <v>56162.54</v>
      </c>
      <c r="E12" s="177"/>
      <c r="F12" s="177"/>
      <c r="G12" s="178"/>
      <c r="H12" s="179"/>
      <c r="I12" s="177"/>
      <c r="J12" s="180"/>
      <c r="K12" s="181"/>
      <c r="L12" s="182"/>
      <c r="M12" s="178"/>
      <c r="N12" s="179"/>
      <c r="O12" s="177"/>
      <c r="P12" s="178"/>
      <c r="Q12" s="179"/>
      <c r="R12" s="177"/>
      <c r="S12" s="180"/>
      <c r="T12" s="183"/>
      <c r="U12" s="177"/>
      <c r="V12" s="178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173">
        <f t="shared" si="5"/>
        <v>3</v>
      </c>
      <c r="AJ12" s="172"/>
      <c r="AK12" s="172"/>
      <c r="AL12" s="172"/>
    </row>
    <row r="13" spans="1:38" hidden="1">
      <c r="A13" s="173">
        <f t="shared" si="4"/>
        <v>4</v>
      </c>
      <c r="B13" s="174">
        <v>46526</v>
      </c>
      <c r="C13" s="175">
        <v>10471.450000000001</v>
      </c>
      <c r="D13" s="176">
        <f t="shared" si="3"/>
        <v>56997.45</v>
      </c>
      <c r="E13" s="177"/>
      <c r="F13" s="177"/>
      <c r="G13" s="178"/>
      <c r="H13" s="179"/>
      <c r="I13" s="177"/>
      <c r="J13" s="180"/>
      <c r="K13" s="181"/>
      <c r="L13" s="182"/>
      <c r="M13" s="178"/>
      <c r="N13" s="179"/>
      <c r="O13" s="177"/>
      <c r="P13" s="178"/>
      <c r="Q13" s="179"/>
      <c r="R13" s="177"/>
      <c r="S13" s="180"/>
      <c r="T13" s="183"/>
      <c r="U13" s="177"/>
      <c r="V13" s="178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173">
        <f t="shared" si="5"/>
        <v>4</v>
      </c>
      <c r="AJ13" s="172"/>
      <c r="AK13" s="172"/>
      <c r="AL13" s="172"/>
    </row>
    <row r="14" spans="1:38" hidden="1">
      <c r="A14" s="173">
        <f t="shared" si="4"/>
        <v>5</v>
      </c>
      <c r="B14" s="174">
        <v>46526</v>
      </c>
      <c r="C14" s="175">
        <v>9942.4599999999991</v>
      </c>
      <c r="D14" s="176">
        <f t="shared" si="3"/>
        <v>56468.46</v>
      </c>
      <c r="E14" s="177"/>
      <c r="F14" s="177"/>
      <c r="G14" s="178"/>
      <c r="H14" s="179"/>
      <c r="I14" s="177"/>
      <c r="J14" s="180"/>
      <c r="K14" s="181"/>
      <c r="L14" s="182"/>
      <c r="M14" s="178"/>
      <c r="N14" s="179"/>
      <c r="O14" s="177"/>
      <c r="P14" s="178"/>
      <c r="Q14" s="179"/>
      <c r="R14" s="177"/>
      <c r="S14" s="180"/>
      <c r="T14" s="183"/>
      <c r="U14" s="177"/>
      <c r="V14" s="178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173">
        <f t="shared" si="5"/>
        <v>5</v>
      </c>
      <c r="AJ14" s="172"/>
      <c r="AK14" s="172"/>
      <c r="AL14" s="172"/>
    </row>
    <row r="15" spans="1:38" hidden="1">
      <c r="A15" s="173">
        <f t="shared" si="4"/>
        <v>6</v>
      </c>
      <c r="B15" s="174">
        <v>46526</v>
      </c>
      <c r="C15" s="175">
        <v>10076.299999999999</v>
      </c>
      <c r="D15" s="176">
        <f t="shared" si="3"/>
        <v>56602.3</v>
      </c>
      <c r="E15" s="177"/>
      <c r="F15" s="177"/>
      <c r="G15" s="178"/>
      <c r="H15" s="179"/>
      <c r="I15" s="177"/>
      <c r="J15" s="180"/>
      <c r="K15" s="181"/>
      <c r="L15" s="182"/>
      <c r="M15" s="178"/>
      <c r="N15" s="179"/>
      <c r="O15" s="177"/>
      <c r="P15" s="178"/>
      <c r="Q15" s="179"/>
      <c r="R15" s="177"/>
      <c r="S15" s="180" t="s">
        <v>466</v>
      </c>
      <c r="T15" s="183"/>
      <c r="U15" s="177"/>
      <c r="V15" s="178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173">
        <f t="shared" si="5"/>
        <v>6</v>
      </c>
      <c r="AJ15" s="172"/>
      <c r="AK15" s="172"/>
      <c r="AL15" s="172"/>
    </row>
    <row r="16" spans="1:38" hidden="1">
      <c r="A16" s="173">
        <f t="shared" si="4"/>
        <v>7</v>
      </c>
      <c r="B16" s="174">
        <v>46526</v>
      </c>
      <c r="C16" s="175">
        <v>9560.0499999999993</v>
      </c>
      <c r="D16" s="176">
        <f t="shared" si="3"/>
        <v>56086.05</v>
      </c>
      <c r="E16" s="177"/>
      <c r="F16" s="177"/>
      <c r="G16" s="178"/>
      <c r="H16" s="179"/>
      <c r="I16" s="177"/>
      <c r="J16" s="180"/>
      <c r="K16" s="181">
        <v>0</v>
      </c>
      <c r="L16" s="182">
        <v>9972.6</v>
      </c>
      <c r="M16" s="178">
        <f t="shared" ref="M16:M21" si="6">K16+L16</f>
        <v>9972.6</v>
      </c>
      <c r="N16" s="179"/>
      <c r="O16" s="177"/>
      <c r="P16" s="178"/>
      <c r="Q16" s="179" t="s">
        <v>457</v>
      </c>
      <c r="R16" s="177"/>
      <c r="S16" s="180"/>
      <c r="T16" s="183"/>
      <c r="U16" s="177"/>
      <c r="V16" s="178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173">
        <f t="shared" si="5"/>
        <v>7</v>
      </c>
      <c r="AJ16" s="172"/>
      <c r="AK16" s="172"/>
      <c r="AL16" s="172"/>
    </row>
    <row r="17" spans="1:38" hidden="1">
      <c r="A17" s="173">
        <f t="shared" si="4"/>
        <v>8</v>
      </c>
      <c r="B17" s="174">
        <v>46526</v>
      </c>
      <c r="C17" s="175">
        <v>9681.15</v>
      </c>
      <c r="D17" s="176">
        <f t="shared" si="3"/>
        <v>56207.15</v>
      </c>
      <c r="E17" s="177"/>
      <c r="F17" s="177"/>
      <c r="G17" s="178"/>
      <c r="H17" s="179"/>
      <c r="I17" s="177"/>
      <c r="J17" s="180"/>
      <c r="K17" s="181">
        <v>0</v>
      </c>
      <c r="L17" s="182">
        <v>11890.41</v>
      </c>
      <c r="M17" s="178">
        <f t="shared" si="6"/>
        <v>11890.41</v>
      </c>
      <c r="N17" s="179"/>
      <c r="O17" s="177"/>
      <c r="P17" s="178"/>
      <c r="Q17" s="179"/>
      <c r="R17" s="177"/>
      <c r="S17" s="180"/>
      <c r="T17" s="183"/>
      <c r="U17" s="177"/>
      <c r="V17" s="178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173">
        <f t="shared" si="5"/>
        <v>8</v>
      </c>
      <c r="AJ17" s="172"/>
      <c r="AK17" s="172"/>
      <c r="AL17" s="172"/>
    </row>
    <row r="18" spans="1:38" hidden="1">
      <c r="A18" s="173">
        <f t="shared" si="4"/>
        <v>9</v>
      </c>
      <c r="B18" s="174">
        <v>46526</v>
      </c>
      <c r="C18" s="175">
        <v>9483.57</v>
      </c>
      <c r="D18" s="176">
        <f t="shared" si="3"/>
        <v>56009.57</v>
      </c>
      <c r="E18" s="177"/>
      <c r="F18" s="177"/>
      <c r="G18" s="178"/>
      <c r="H18" s="179"/>
      <c r="I18" s="177"/>
      <c r="J18" s="180"/>
      <c r="K18" s="181">
        <v>0</v>
      </c>
      <c r="L18" s="182">
        <v>11506.85</v>
      </c>
      <c r="M18" s="178">
        <f t="shared" si="6"/>
        <v>11506.85</v>
      </c>
      <c r="N18" s="179"/>
      <c r="O18" s="177"/>
      <c r="P18" s="178"/>
      <c r="Q18" s="179"/>
      <c r="R18" s="177"/>
      <c r="S18" s="180"/>
      <c r="T18" s="183"/>
      <c r="U18" s="177"/>
      <c r="V18" s="178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173">
        <f t="shared" si="5"/>
        <v>9</v>
      </c>
      <c r="AJ18" s="172"/>
      <c r="AK18" s="172"/>
      <c r="AL18" s="172"/>
    </row>
    <row r="19" spans="1:38" hidden="1">
      <c r="A19" s="173">
        <f t="shared" si="4"/>
        <v>10</v>
      </c>
      <c r="B19" s="174">
        <v>46526</v>
      </c>
      <c r="C19" s="175">
        <v>8986.4500000000007</v>
      </c>
      <c r="D19" s="176">
        <f t="shared" si="3"/>
        <v>55512.45</v>
      </c>
      <c r="E19" s="177"/>
      <c r="F19" s="177"/>
      <c r="G19" s="178"/>
      <c r="H19" s="179"/>
      <c r="I19" s="177"/>
      <c r="J19" s="180"/>
      <c r="K19" s="181">
        <v>0</v>
      </c>
      <c r="L19" s="182">
        <v>11890.41</v>
      </c>
      <c r="M19" s="178">
        <f t="shared" si="6"/>
        <v>11890.41</v>
      </c>
      <c r="N19" s="179"/>
      <c r="O19" s="177"/>
      <c r="P19" s="178"/>
      <c r="Q19" s="179"/>
      <c r="R19" s="177"/>
      <c r="S19" s="180"/>
      <c r="T19" s="183"/>
      <c r="U19" s="177"/>
      <c r="V19" s="178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173">
        <f t="shared" si="5"/>
        <v>10</v>
      </c>
      <c r="AJ19" s="172"/>
      <c r="AK19" s="172"/>
      <c r="AL19" s="172"/>
    </row>
    <row r="20" spans="1:38" hidden="1">
      <c r="A20" s="173">
        <f t="shared" si="4"/>
        <v>11</v>
      </c>
      <c r="B20" s="174">
        <v>46526</v>
      </c>
      <c r="C20" s="175">
        <v>9088.42</v>
      </c>
      <c r="D20" s="176">
        <f t="shared" si="3"/>
        <v>55614.42</v>
      </c>
      <c r="E20" s="177">
        <v>41920.5</v>
      </c>
      <c r="F20" s="177">
        <v>29570.93</v>
      </c>
      <c r="G20" s="178">
        <f>E20-F20</f>
        <v>12349.57</v>
      </c>
      <c r="H20" s="179">
        <v>53083.69</v>
      </c>
      <c r="I20" s="177">
        <v>37445.5</v>
      </c>
      <c r="J20" s="180">
        <f>H20-I20</f>
        <v>15638.19</v>
      </c>
      <c r="K20" s="181">
        <v>0</v>
      </c>
      <c r="L20" s="182">
        <v>11506.85</v>
      </c>
      <c r="M20" s="178">
        <f t="shared" si="6"/>
        <v>11506.85</v>
      </c>
      <c r="N20" s="179"/>
      <c r="O20" s="177"/>
      <c r="P20" s="178"/>
      <c r="Q20" s="179"/>
      <c r="R20" s="177"/>
      <c r="S20" s="180"/>
      <c r="T20" s="183"/>
      <c r="U20" s="177"/>
      <c r="V20" s="178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173">
        <f t="shared" si="5"/>
        <v>11</v>
      </c>
      <c r="AJ20" s="172"/>
      <c r="AK20" s="172"/>
      <c r="AL20" s="172"/>
    </row>
    <row r="21" spans="1:38" hidden="1">
      <c r="A21" s="173">
        <f t="shared" si="4"/>
        <v>12</v>
      </c>
      <c r="B21" s="174">
        <v>46526</v>
      </c>
      <c r="C21" s="175">
        <v>8604.0400000000009</v>
      </c>
      <c r="D21" s="176">
        <f t="shared" si="3"/>
        <v>55130.04</v>
      </c>
      <c r="E21" s="177">
        <v>41920.5</v>
      </c>
      <c r="F21" s="177">
        <v>29743.43</v>
      </c>
      <c r="G21" s="178">
        <f>E21-F21</f>
        <v>12177.07</v>
      </c>
      <c r="H21" s="179">
        <v>53083.69</v>
      </c>
      <c r="I21" s="177">
        <v>37663.93</v>
      </c>
      <c r="J21" s="180">
        <f t="shared" ref="J21:J103" si="7">H21-I21</f>
        <v>15419.76</v>
      </c>
      <c r="K21" s="181">
        <v>0</v>
      </c>
      <c r="L21" s="182">
        <v>11890.41</v>
      </c>
      <c r="M21" s="178">
        <f t="shared" si="6"/>
        <v>11890.41</v>
      </c>
      <c r="N21" s="179"/>
      <c r="O21" s="177"/>
      <c r="P21" s="178"/>
      <c r="Q21" s="179"/>
      <c r="R21" s="177"/>
      <c r="S21" s="180"/>
      <c r="T21" s="183"/>
      <c r="U21" s="177"/>
      <c r="V21" s="178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173">
        <f t="shared" si="5"/>
        <v>12</v>
      </c>
      <c r="AJ21" s="172"/>
      <c r="AK21" s="172"/>
      <c r="AL21" s="172"/>
    </row>
    <row r="22" spans="1:38" hidden="1">
      <c r="A22" s="184" t="s">
        <v>467</v>
      </c>
      <c r="B22" s="186">
        <f>SUM(B10:B21)</f>
        <v>558312</v>
      </c>
      <c r="C22" s="187">
        <f>SUM(C10:C21)</f>
        <v>117461.21</v>
      </c>
      <c r="D22" s="188">
        <f>SUM(D10:D21)</f>
        <v>675773.21</v>
      </c>
      <c r="E22" s="189">
        <f>SUM(E20:E21)</f>
        <v>83841</v>
      </c>
      <c r="F22" s="189">
        <f>SUM(F20:F21)</f>
        <v>59314.36</v>
      </c>
      <c r="G22" s="190">
        <f t="shared" ref="G22:G105" si="8">E22-F22</f>
        <v>24526.639999999999</v>
      </c>
      <c r="H22" s="191">
        <f>SUM(H20:H21)</f>
        <v>106167.38</v>
      </c>
      <c r="I22" s="189">
        <f>SUM(I20:I21)</f>
        <v>75109.429999999993</v>
      </c>
      <c r="J22" s="192">
        <f t="shared" si="7"/>
        <v>31057.95</v>
      </c>
      <c r="K22" s="188">
        <f>SUM(K16:K21)</f>
        <v>0</v>
      </c>
      <c r="L22" s="193">
        <f>SUM(L16:L21)</f>
        <v>68657.53</v>
      </c>
      <c r="M22" s="193">
        <f>SUM(M16:M21)</f>
        <v>68657.53</v>
      </c>
      <c r="N22" s="194"/>
      <c r="O22" s="195"/>
      <c r="P22" s="190"/>
      <c r="Q22" s="194"/>
      <c r="R22" s="195"/>
      <c r="S22" s="192"/>
      <c r="T22" s="196"/>
      <c r="U22" s="195"/>
      <c r="V22" s="190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184" t="s">
        <v>467</v>
      </c>
      <c r="AJ22" s="197">
        <f>B22+F22+I22+K22</f>
        <v>692735.79</v>
      </c>
      <c r="AK22" s="197">
        <f>C22+G22+J22+L22</f>
        <v>241703.33</v>
      </c>
      <c r="AL22" s="197">
        <f>AJ22+AK22</f>
        <v>934439.12</v>
      </c>
    </row>
    <row r="23" spans="1:38" ht="11.4" customHeight="1">
      <c r="A23" s="173" t="s">
        <v>468</v>
      </c>
      <c r="B23" s="183">
        <v>46526</v>
      </c>
      <c r="C23" s="177">
        <v>8693.27</v>
      </c>
      <c r="D23" s="177">
        <f>B23+C23</f>
        <v>55219.27</v>
      </c>
      <c r="E23" s="177">
        <v>41920.5</v>
      </c>
      <c r="F23" s="177">
        <v>29916.93</v>
      </c>
      <c r="G23" s="178">
        <f t="shared" si="8"/>
        <v>12003.57</v>
      </c>
      <c r="H23" s="177">
        <v>53083.69</v>
      </c>
      <c r="I23" s="177">
        <v>37883.64</v>
      </c>
      <c r="J23" s="180">
        <f t="shared" si="7"/>
        <v>15200.05</v>
      </c>
      <c r="K23" s="177">
        <v>0</v>
      </c>
      <c r="L23" s="177">
        <v>11890.41</v>
      </c>
      <c r="M23" s="198">
        <f>K23+L23</f>
        <v>11890.41</v>
      </c>
      <c r="N23" s="179"/>
      <c r="O23" s="177"/>
      <c r="P23" s="178"/>
      <c r="Q23" s="179"/>
      <c r="R23" s="177"/>
      <c r="S23" s="180"/>
      <c r="T23" s="183"/>
      <c r="U23" s="177"/>
      <c r="V23" s="178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173" t="s">
        <v>468</v>
      </c>
      <c r="AJ23" s="197"/>
      <c r="AK23" s="197"/>
      <c r="AL23" s="197"/>
    </row>
    <row r="24" spans="1:38" ht="11.4" customHeight="1">
      <c r="A24" s="173">
        <v>2</v>
      </c>
      <c r="B24" s="183">
        <v>46526</v>
      </c>
      <c r="C24" s="177">
        <v>8495.69</v>
      </c>
      <c r="D24" s="177">
        <f t="shared" ref="D24:D83" si="9">B24+C24</f>
        <v>55021.69</v>
      </c>
      <c r="E24" s="177">
        <v>41920.5</v>
      </c>
      <c r="F24" s="177">
        <v>30091.45</v>
      </c>
      <c r="G24" s="178">
        <f t="shared" si="8"/>
        <v>11829.05</v>
      </c>
      <c r="H24" s="177">
        <v>53083.69</v>
      </c>
      <c r="I24" s="177">
        <v>38104.629999999997</v>
      </c>
      <c r="J24" s="180">
        <f t="shared" si="7"/>
        <v>14979.06</v>
      </c>
      <c r="K24" s="177">
        <v>0</v>
      </c>
      <c r="L24" s="177">
        <v>10739.73</v>
      </c>
      <c r="M24" s="198">
        <f t="shared" ref="M24:M31" si="10">K24+L24</f>
        <v>10739.73</v>
      </c>
      <c r="N24" s="179"/>
      <c r="O24" s="177"/>
      <c r="P24" s="178"/>
      <c r="Q24" s="179"/>
      <c r="R24" s="177"/>
      <c r="S24" s="180"/>
      <c r="T24" s="183"/>
      <c r="U24" s="177"/>
      <c r="V24" s="178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173">
        <v>2</v>
      </c>
      <c r="AJ24" s="197"/>
      <c r="AK24" s="197"/>
      <c r="AL24" s="197"/>
    </row>
    <row r="25" spans="1:38" ht="11.4" customHeight="1">
      <c r="A25" s="173">
        <v>3</v>
      </c>
      <c r="B25" s="183">
        <v>46526</v>
      </c>
      <c r="C25" s="177">
        <v>7495.07</v>
      </c>
      <c r="D25" s="177">
        <f t="shared" si="9"/>
        <v>54021.07</v>
      </c>
      <c r="E25" s="177">
        <v>41920.5</v>
      </c>
      <c r="F25" s="177">
        <v>30266.98</v>
      </c>
      <c r="G25" s="178">
        <f t="shared" si="8"/>
        <v>11653.52</v>
      </c>
      <c r="H25" s="177">
        <v>53083.69</v>
      </c>
      <c r="I25" s="177">
        <v>38326.9</v>
      </c>
      <c r="J25" s="180">
        <f t="shared" si="7"/>
        <v>14756.79</v>
      </c>
      <c r="K25" s="177">
        <v>0</v>
      </c>
      <c r="L25" s="177">
        <v>11890.41</v>
      </c>
      <c r="M25" s="198">
        <f t="shared" si="10"/>
        <v>11890.41</v>
      </c>
      <c r="N25" s="179"/>
      <c r="O25" s="177"/>
      <c r="P25" s="178"/>
      <c r="Q25" s="179"/>
      <c r="R25" s="177"/>
      <c r="S25" s="180"/>
      <c r="T25" s="183"/>
      <c r="U25" s="177"/>
      <c r="V25" s="178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173">
        <v>3</v>
      </c>
      <c r="AJ25" s="197"/>
      <c r="AK25" s="197"/>
      <c r="AL25" s="197"/>
    </row>
    <row r="26" spans="1:38" ht="11.4" customHeight="1">
      <c r="A26" s="199" t="s">
        <v>469</v>
      </c>
      <c r="B26" s="200">
        <f t="shared" ref="B26:M26" si="11">B23+B24+B25</f>
        <v>139578</v>
      </c>
      <c r="C26" s="201">
        <f t="shared" si="11"/>
        <v>24684.03</v>
      </c>
      <c r="D26" s="201">
        <f t="shared" si="11"/>
        <v>164262.03</v>
      </c>
      <c r="E26" s="201">
        <f t="shared" si="11"/>
        <v>125761.5</v>
      </c>
      <c r="F26" s="201">
        <f t="shared" si="11"/>
        <v>90275.36</v>
      </c>
      <c r="G26" s="201">
        <f t="shared" si="11"/>
        <v>35486.14</v>
      </c>
      <c r="H26" s="201">
        <f t="shared" si="11"/>
        <v>159251.07</v>
      </c>
      <c r="I26" s="201">
        <f t="shared" si="11"/>
        <v>114315.17</v>
      </c>
      <c r="J26" s="201">
        <f t="shared" si="11"/>
        <v>44935.9</v>
      </c>
      <c r="K26" s="201">
        <f t="shared" si="11"/>
        <v>0</v>
      </c>
      <c r="L26" s="201">
        <f t="shared" si="11"/>
        <v>34520.550000000003</v>
      </c>
      <c r="M26" s="202">
        <f t="shared" si="11"/>
        <v>34520.550000000003</v>
      </c>
      <c r="N26" s="203"/>
      <c r="O26" s="201"/>
      <c r="P26" s="202"/>
      <c r="Q26" s="203"/>
      <c r="R26" s="201"/>
      <c r="S26" s="204"/>
      <c r="T26" s="200"/>
      <c r="U26" s="201"/>
      <c r="V26" s="202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199" t="s">
        <v>469</v>
      </c>
      <c r="AJ26" s="205">
        <f>B26+F26+I26+K26+N26</f>
        <v>344168.53</v>
      </c>
      <c r="AK26" s="206">
        <f>C26+G26+J26+L26+O26</f>
        <v>139626.62</v>
      </c>
      <c r="AL26" s="205">
        <f>D26+H26+E26+M26+P26</f>
        <v>483795.15</v>
      </c>
    </row>
    <row r="27" spans="1:38" ht="11.4" customHeight="1">
      <c r="A27" s="173">
        <v>4</v>
      </c>
      <c r="B27" s="183">
        <v>46526</v>
      </c>
      <c r="C27" s="177">
        <v>8100.54</v>
      </c>
      <c r="D27" s="177">
        <f t="shared" si="9"/>
        <v>54626.54</v>
      </c>
      <c r="E27" s="177">
        <v>41920.5</v>
      </c>
      <c r="F27" s="177">
        <v>30443.54</v>
      </c>
      <c r="G27" s="178">
        <f t="shared" si="8"/>
        <v>11476.96</v>
      </c>
      <c r="H27" s="177">
        <v>53083.69</v>
      </c>
      <c r="I27" s="177">
        <v>38550.480000000003</v>
      </c>
      <c r="J27" s="180">
        <f t="shared" si="7"/>
        <v>14533.21</v>
      </c>
      <c r="K27" s="177">
        <v>0</v>
      </c>
      <c r="L27" s="177">
        <v>11506.85</v>
      </c>
      <c r="M27" s="198">
        <f t="shared" si="10"/>
        <v>11506.85</v>
      </c>
      <c r="N27" s="179"/>
      <c r="O27" s="177"/>
      <c r="P27" s="178"/>
      <c r="Q27" s="179"/>
      <c r="R27" s="177"/>
      <c r="S27" s="180"/>
      <c r="T27" s="183"/>
      <c r="U27" s="177"/>
      <c r="V27" s="178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173">
        <v>4</v>
      </c>
      <c r="AJ27" s="197"/>
      <c r="AK27" s="197"/>
      <c r="AL27" s="197"/>
    </row>
    <row r="28" spans="1:38" ht="11.4" customHeight="1">
      <c r="A28" s="173">
        <v>5</v>
      </c>
      <c r="B28" s="183">
        <v>46526</v>
      </c>
      <c r="C28" s="177">
        <v>7648.03</v>
      </c>
      <c r="D28" s="177">
        <f t="shared" si="9"/>
        <v>54174.03</v>
      </c>
      <c r="E28" s="177">
        <v>41920.5</v>
      </c>
      <c r="F28" s="177">
        <v>30621.13</v>
      </c>
      <c r="G28" s="178">
        <f t="shared" si="8"/>
        <v>11299.37</v>
      </c>
      <c r="H28" s="177">
        <v>53083.69</v>
      </c>
      <c r="I28" s="177">
        <v>38775.35</v>
      </c>
      <c r="J28" s="180">
        <f t="shared" si="7"/>
        <v>14308.34</v>
      </c>
      <c r="K28" s="177">
        <v>0</v>
      </c>
      <c r="L28" s="177">
        <v>11890.41</v>
      </c>
      <c r="M28" s="198">
        <f t="shared" si="10"/>
        <v>11890.41</v>
      </c>
      <c r="N28" s="179"/>
      <c r="O28" s="177"/>
      <c r="P28" s="178"/>
      <c r="Q28" s="179"/>
      <c r="R28" s="177"/>
      <c r="S28" s="180"/>
      <c r="T28" s="183"/>
      <c r="U28" s="177"/>
      <c r="V28" s="178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173">
        <v>5</v>
      </c>
      <c r="AJ28" s="197"/>
      <c r="AK28" s="197"/>
      <c r="AL28" s="197"/>
    </row>
    <row r="29" spans="1:38" ht="11.4" customHeight="1">
      <c r="A29" s="173">
        <v>6</v>
      </c>
      <c r="B29" s="183">
        <v>46526</v>
      </c>
      <c r="C29" s="177">
        <v>7705.39</v>
      </c>
      <c r="D29" s="177">
        <f t="shared" si="9"/>
        <v>54231.39</v>
      </c>
      <c r="E29" s="177">
        <v>41920.5</v>
      </c>
      <c r="F29" s="177">
        <v>30799.75</v>
      </c>
      <c r="G29" s="178">
        <f t="shared" si="8"/>
        <v>11120.75</v>
      </c>
      <c r="H29" s="177">
        <v>53083.69</v>
      </c>
      <c r="I29" s="177">
        <v>39001.54</v>
      </c>
      <c r="J29" s="180">
        <f t="shared" si="7"/>
        <v>14082.15</v>
      </c>
      <c r="K29" s="177">
        <v>0</v>
      </c>
      <c r="L29" s="177">
        <v>11506.85</v>
      </c>
      <c r="M29" s="198">
        <f t="shared" si="10"/>
        <v>11506.85</v>
      </c>
      <c r="N29" s="207">
        <v>45834</v>
      </c>
      <c r="O29" s="175">
        <v>11678.08</v>
      </c>
      <c r="P29" s="176">
        <f>N29+O29</f>
        <v>57512.08</v>
      </c>
      <c r="Q29" s="208"/>
      <c r="R29" s="209"/>
      <c r="S29" s="210"/>
      <c r="T29" s="211"/>
      <c r="U29" s="209"/>
      <c r="V29" s="176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173">
        <v>6</v>
      </c>
      <c r="AJ29" s="197"/>
      <c r="AK29" s="197"/>
      <c r="AL29" s="197"/>
    </row>
    <row r="30" spans="1:38" ht="11.4" customHeight="1">
      <c r="A30" s="199" t="s">
        <v>470</v>
      </c>
      <c r="B30" s="200">
        <f t="shared" ref="B30:P30" si="12">B27+B28+B29</f>
        <v>139578</v>
      </c>
      <c r="C30" s="201">
        <f t="shared" si="12"/>
        <v>23453.96</v>
      </c>
      <c r="D30" s="201">
        <f t="shared" si="12"/>
        <v>163031.96</v>
      </c>
      <c r="E30" s="201">
        <f t="shared" si="12"/>
        <v>125761.5</v>
      </c>
      <c r="F30" s="201">
        <f t="shared" si="12"/>
        <v>91864.42</v>
      </c>
      <c r="G30" s="201">
        <f t="shared" si="12"/>
        <v>33897.08</v>
      </c>
      <c r="H30" s="201">
        <f t="shared" si="12"/>
        <v>159251.07</v>
      </c>
      <c r="I30" s="201">
        <f t="shared" si="12"/>
        <v>116327.37</v>
      </c>
      <c r="J30" s="201">
        <f t="shared" si="12"/>
        <v>42923.7</v>
      </c>
      <c r="K30" s="201">
        <f t="shared" si="12"/>
        <v>0</v>
      </c>
      <c r="L30" s="201">
        <f t="shared" si="12"/>
        <v>34904.11</v>
      </c>
      <c r="M30" s="202">
        <f t="shared" si="12"/>
        <v>34904.11</v>
      </c>
      <c r="N30" s="203">
        <f t="shared" si="12"/>
        <v>45834</v>
      </c>
      <c r="O30" s="201">
        <f t="shared" si="12"/>
        <v>11678.08</v>
      </c>
      <c r="P30" s="202">
        <f t="shared" si="12"/>
        <v>57512.08</v>
      </c>
      <c r="Q30" s="203"/>
      <c r="R30" s="201"/>
      <c r="S30" s="204"/>
      <c r="T30" s="200"/>
      <c r="U30" s="201"/>
      <c r="V30" s="202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199" t="s">
        <v>470</v>
      </c>
      <c r="AJ30" s="205">
        <f>B30+F30+I30+K30+N30</f>
        <v>393603.79</v>
      </c>
      <c r="AK30" s="206">
        <f>C30+G30+J30+L30+O30</f>
        <v>146856.93</v>
      </c>
      <c r="AL30" s="205">
        <f>D30+E30+H30+M30+P30</f>
        <v>540460.72</v>
      </c>
    </row>
    <row r="31" spans="1:38" ht="11.4" customHeight="1">
      <c r="A31" s="173">
        <v>7</v>
      </c>
      <c r="B31" s="183">
        <v>46526</v>
      </c>
      <c r="C31" s="177">
        <v>7265.62</v>
      </c>
      <c r="D31" s="177">
        <f t="shared" si="9"/>
        <v>53791.62</v>
      </c>
      <c r="E31" s="177">
        <v>41920.5</v>
      </c>
      <c r="F31" s="177">
        <v>30979.42</v>
      </c>
      <c r="G31" s="178">
        <f t="shared" si="8"/>
        <v>10941.08</v>
      </c>
      <c r="H31" s="177">
        <v>53083.69</v>
      </c>
      <c r="I31" s="177">
        <v>39229.050000000003</v>
      </c>
      <c r="J31" s="180">
        <f t="shared" si="7"/>
        <v>13854.64</v>
      </c>
      <c r="K31" s="177">
        <v>2000000</v>
      </c>
      <c r="L31" s="177">
        <v>1534.25</v>
      </c>
      <c r="M31" s="198">
        <f t="shared" si="10"/>
        <v>2001534.25</v>
      </c>
      <c r="N31" s="207">
        <v>45834</v>
      </c>
      <c r="O31" s="175">
        <v>11113.01</v>
      </c>
      <c r="P31" s="176">
        <f t="shared" ref="P31:P113" si="13">N31+O31</f>
        <v>56947.01</v>
      </c>
      <c r="Q31" s="208"/>
      <c r="R31" s="209"/>
      <c r="S31" s="210"/>
      <c r="T31" s="211"/>
      <c r="U31" s="209"/>
      <c r="V31" s="176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173">
        <v>7</v>
      </c>
      <c r="AJ31" s="197"/>
      <c r="AK31" s="197"/>
      <c r="AL31" s="197"/>
    </row>
    <row r="32" spans="1:38" ht="11.4" customHeight="1">
      <c r="A32" s="173">
        <v>8</v>
      </c>
      <c r="B32" s="183">
        <v>46526</v>
      </c>
      <c r="C32" s="177">
        <v>7310.23</v>
      </c>
      <c r="D32" s="177">
        <f t="shared" si="9"/>
        <v>53836.23</v>
      </c>
      <c r="E32" s="177">
        <v>41920.5</v>
      </c>
      <c r="F32" s="177">
        <v>31160.13</v>
      </c>
      <c r="G32" s="178">
        <f t="shared" si="8"/>
        <v>10760.37</v>
      </c>
      <c r="H32" s="177">
        <v>53083.69</v>
      </c>
      <c r="I32" s="177">
        <v>39457.89</v>
      </c>
      <c r="J32" s="180">
        <f t="shared" si="7"/>
        <v>13625.8</v>
      </c>
      <c r="K32" s="177"/>
      <c r="L32" s="177"/>
      <c r="M32" s="178"/>
      <c r="N32" s="207">
        <v>45834</v>
      </c>
      <c r="O32" s="175">
        <v>11288.81</v>
      </c>
      <c r="P32" s="176">
        <f t="shared" si="13"/>
        <v>57122.81</v>
      </c>
      <c r="Q32" s="208"/>
      <c r="R32" s="209">
        <v>1534.25</v>
      </c>
      <c r="S32" s="210">
        <f>Q32+R32</f>
        <v>1534.25</v>
      </c>
      <c r="T32" s="211"/>
      <c r="U32" s="209"/>
      <c r="V32" s="176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173">
        <v>8</v>
      </c>
      <c r="AJ32" s="197"/>
      <c r="AK32" s="197"/>
      <c r="AL32" s="197"/>
    </row>
    <row r="33" spans="1:38" ht="11.4" customHeight="1">
      <c r="A33" s="173">
        <v>9</v>
      </c>
      <c r="B33" s="183">
        <v>46526</v>
      </c>
      <c r="C33" s="177">
        <v>7112.66</v>
      </c>
      <c r="D33" s="177">
        <f t="shared" si="9"/>
        <v>53638.66</v>
      </c>
      <c r="E33" s="177">
        <v>41920.5</v>
      </c>
      <c r="F33" s="177">
        <v>31341.9</v>
      </c>
      <c r="G33" s="178">
        <f t="shared" si="8"/>
        <v>10578.6</v>
      </c>
      <c r="H33" s="177">
        <v>53083.69</v>
      </c>
      <c r="I33" s="177">
        <v>39688.06</v>
      </c>
      <c r="J33" s="180">
        <f t="shared" si="7"/>
        <v>13395.63</v>
      </c>
      <c r="K33" s="177"/>
      <c r="L33" s="177"/>
      <c r="M33" s="178"/>
      <c r="N33" s="207">
        <v>45834</v>
      </c>
      <c r="O33" s="175">
        <v>11094.17</v>
      </c>
      <c r="P33" s="176">
        <f t="shared" si="13"/>
        <v>56928.17</v>
      </c>
      <c r="Q33" s="208"/>
      <c r="R33" s="182">
        <v>11506.85</v>
      </c>
      <c r="S33" s="210">
        <f t="shared" ref="S33:S49" si="14">Q33+R33</f>
        <v>11506.85</v>
      </c>
      <c r="T33" s="211"/>
      <c r="U33" s="209"/>
      <c r="V33" s="176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173">
        <v>9</v>
      </c>
      <c r="AJ33" s="197"/>
      <c r="AK33" s="197"/>
      <c r="AL33" s="197"/>
    </row>
    <row r="34" spans="1:38" ht="11.4" customHeight="1">
      <c r="A34" s="199" t="s">
        <v>471</v>
      </c>
      <c r="B34" s="200">
        <f t="shared" ref="B34:P34" si="15">B31+B32+B33</f>
        <v>139578</v>
      </c>
      <c r="C34" s="201">
        <f t="shared" si="15"/>
        <v>21688.51</v>
      </c>
      <c r="D34" s="201">
        <f t="shared" si="15"/>
        <v>161266.51</v>
      </c>
      <c r="E34" s="201">
        <f t="shared" si="15"/>
        <v>125761.5</v>
      </c>
      <c r="F34" s="201">
        <f t="shared" si="15"/>
        <v>93481.45</v>
      </c>
      <c r="G34" s="201">
        <f t="shared" si="15"/>
        <v>32280.05</v>
      </c>
      <c r="H34" s="201">
        <f t="shared" si="15"/>
        <v>159251.07</v>
      </c>
      <c r="I34" s="201">
        <f t="shared" si="15"/>
        <v>118375</v>
      </c>
      <c r="J34" s="201">
        <f t="shared" si="15"/>
        <v>40876.07</v>
      </c>
      <c r="K34" s="201">
        <f t="shared" si="15"/>
        <v>2000000</v>
      </c>
      <c r="L34" s="201">
        <f t="shared" si="15"/>
        <v>1534.25</v>
      </c>
      <c r="M34" s="202">
        <f t="shared" si="15"/>
        <v>2001534.25</v>
      </c>
      <c r="N34" s="203">
        <f t="shared" si="15"/>
        <v>137502</v>
      </c>
      <c r="O34" s="201">
        <f t="shared" si="15"/>
        <v>33495.99</v>
      </c>
      <c r="P34" s="202">
        <f t="shared" si="15"/>
        <v>170997.99</v>
      </c>
      <c r="Q34" s="179"/>
      <c r="R34" s="212">
        <f>SUM(R32:R33)</f>
        <v>13041.1</v>
      </c>
      <c r="S34" s="213">
        <f t="shared" si="14"/>
        <v>13041.1</v>
      </c>
      <c r="T34" s="183"/>
      <c r="U34" s="177"/>
      <c r="V34" s="178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199" t="s">
        <v>471</v>
      </c>
      <c r="AJ34" s="205">
        <f>B34+F34+I34+K34+N34</f>
        <v>2488936.4500000002</v>
      </c>
      <c r="AK34" s="206">
        <f>C34+G34+J34+L34+O34+R34</f>
        <v>142915.97</v>
      </c>
      <c r="AL34" s="205">
        <f>D34+E34+H34+M34+P34+S34</f>
        <v>2631852.42</v>
      </c>
    </row>
    <row r="35" spans="1:38" ht="11.4" customHeight="1">
      <c r="A35" s="173">
        <v>10</v>
      </c>
      <c r="B35" s="183">
        <v>46526</v>
      </c>
      <c r="C35" s="177">
        <v>6692.01</v>
      </c>
      <c r="D35" s="177">
        <f t="shared" si="9"/>
        <v>53218.01</v>
      </c>
      <c r="E35" s="177">
        <v>41920.5</v>
      </c>
      <c r="F35" s="177">
        <v>31524.73</v>
      </c>
      <c r="G35" s="178">
        <f t="shared" si="8"/>
        <v>10395.77</v>
      </c>
      <c r="H35" s="177">
        <v>53083.69</v>
      </c>
      <c r="I35" s="177">
        <v>39919.57</v>
      </c>
      <c r="J35" s="180">
        <f t="shared" si="7"/>
        <v>13164.12</v>
      </c>
      <c r="K35" s="177"/>
      <c r="L35" s="177"/>
      <c r="M35" s="178"/>
      <c r="N35" s="207">
        <v>45834</v>
      </c>
      <c r="O35" s="175">
        <v>10547.93</v>
      </c>
      <c r="P35" s="176">
        <f t="shared" si="13"/>
        <v>56381.93</v>
      </c>
      <c r="Q35" s="208"/>
      <c r="R35" s="182">
        <v>11890.41</v>
      </c>
      <c r="S35" s="210">
        <f t="shared" si="14"/>
        <v>11890.41</v>
      </c>
      <c r="T35" s="211"/>
      <c r="U35" s="214"/>
      <c r="V35" s="176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173">
        <v>10</v>
      </c>
      <c r="AJ35" s="197"/>
      <c r="AK35" s="197"/>
      <c r="AL35" s="197"/>
    </row>
    <row r="36" spans="1:38" ht="11.4" customHeight="1">
      <c r="A36" s="173">
        <v>11</v>
      </c>
      <c r="B36" s="183">
        <v>46526</v>
      </c>
      <c r="C36" s="177">
        <v>6717.5</v>
      </c>
      <c r="D36" s="177">
        <f t="shared" si="9"/>
        <v>53243.5</v>
      </c>
      <c r="E36" s="177">
        <v>41920.5</v>
      </c>
      <c r="F36" s="177">
        <v>31708.62</v>
      </c>
      <c r="G36" s="178">
        <f t="shared" si="8"/>
        <v>10211.879999999999</v>
      </c>
      <c r="H36" s="177">
        <v>53083.69</v>
      </c>
      <c r="I36" s="177">
        <v>40152.44</v>
      </c>
      <c r="J36" s="180">
        <f t="shared" si="7"/>
        <v>12931.25</v>
      </c>
      <c r="K36" s="177"/>
      <c r="L36" s="177"/>
      <c r="M36" s="178"/>
      <c r="N36" s="207">
        <v>45834</v>
      </c>
      <c r="O36" s="175">
        <v>10704.89</v>
      </c>
      <c r="P36" s="176">
        <f t="shared" si="13"/>
        <v>56538.89</v>
      </c>
      <c r="Q36" s="208"/>
      <c r="R36" s="182">
        <v>11506.85</v>
      </c>
      <c r="S36" s="210">
        <f t="shared" si="14"/>
        <v>11506.85</v>
      </c>
      <c r="T36" s="215"/>
      <c r="U36" s="216">
        <v>42345.21</v>
      </c>
      <c r="V36" s="215">
        <f>T36+U36</f>
        <v>42345.21</v>
      </c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173">
        <v>11</v>
      </c>
      <c r="AJ36" s="197"/>
      <c r="AK36" s="197"/>
      <c r="AL36" s="197"/>
    </row>
    <row r="37" spans="1:38" ht="11.4" customHeight="1">
      <c r="A37" s="173">
        <v>12</v>
      </c>
      <c r="B37" s="183">
        <v>46526</v>
      </c>
      <c r="C37" s="177">
        <v>6309.61</v>
      </c>
      <c r="D37" s="177">
        <f t="shared" si="9"/>
        <v>52835.61</v>
      </c>
      <c r="E37" s="177">
        <v>41920.5</v>
      </c>
      <c r="F37" s="177">
        <v>31893.59</v>
      </c>
      <c r="G37" s="178">
        <f t="shared" si="8"/>
        <v>10026.91</v>
      </c>
      <c r="H37" s="177">
        <v>53083.69</v>
      </c>
      <c r="I37" s="177">
        <v>40386.660000000003</v>
      </c>
      <c r="J37" s="180">
        <f t="shared" si="7"/>
        <v>12697.03</v>
      </c>
      <c r="K37" s="177"/>
      <c r="L37" s="177"/>
      <c r="M37" s="178"/>
      <c r="N37" s="207">
        <v>45834</v>
      </c>
      <c r="O37" s="175">
        <v>10171.219999999999</v>
      </c>
      <c r="P37" s="176">
        <f t="shared" si="13"/>
        <v>56005.22</v>
      </c>
      <c r="Q37" s="208"/>
      <c r="R37" s="182">
        <v>11890.41</v>
      </c>
      <c r="S37" s="210">
        <f t="shared" si="14"/>
        <v>11890.41</v>
      </c>
      <c r="T37" s="215"/>
      <c r="U37" s="216">
        <v>31758.9</v>
      </c>
      <c r="V37" s="215">
        <f t="shared" ref="V37:V118" si="16">T37+U37</f>
        <v>31758.9</v>
      </c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173">
        <v>12</v>
      </c>
      <c r="AJ37" s="197"/>
      <c r="AK37" s="197"/>
      <c r="AL37" s="197"/>
    </row>
    <row r="38" spans="1:38" ht="11.4" customHeight="1">
      <c r="A38" s="199" t="s">
        <v>472</v>
      </c>
      <c r="B38" s="200">
        <f t="shared" ref="B38:J38" si="17">B35+B36+B37</f>
        <v>139578</v>
      </c>
      <c r="C38" s="201">
        <f t="shared" si="17"/>
        <v>19719.12</v>
      </c>
      <c r="D38" s="201">
        <f t="shared" si="17"/>
        <v>159297.12</v>
      </c>
      <c r="E38" s="201">
        <f t="shared" si="17"/>
        <v>125761.5</v>
      </c>
      <c r="F38" s="201">
        <f t="shared" si="17"/>
        <v>95126.94</v>
      </c>
      <c r="G38" s="201">
        <f t="shared" si="17"/>
        <v>30634.560000000001</v>
      </c>
      <c r="H38" s="201">
        <f t="shared" si="17"/>
        <v>159251.07</v>
      </c>
      <c r="I38" s="201">
        <f t="shared" si="17"/>
        <v>120458.67</v>
      </c>
      <c r="J38" s="201">
        <f t="shared" si="17"/>
        <v>38792.400000000001</v>
      </c>
      <c r="K38" s="201"/>
      <c r="L38" s="201"/>
      <c r="M38" s="202"/>
      <c r="N38" s="203">
        <f>N35+N36+N37</f>
        <v>137502</v>
      </c>
      <c r="O38" s="201">
        <f>O35+O36+O37</f>
        <v>31424.04</v>
      </c>
      <c r="P38" s="202">
        <f>P35+P36+P37</f>
        <v>168926.04</v>
      </c>
      <c r="Q38" s="179"/>
      <c r="R38" s="201">
        <f>SUM(R35:R37)</f>
        <v>35287.67</v>
      </c>
      <c r="S38" s="213">
        <f t="shared" si="14"/>
        <v>35287.67</v>
      </c>
      <c r="T38" s="217"/>
      <c r="U38" s="218">
        <f>SUM(U36:U37)</f>
        <v>74104.11</v>
      </c>
      <c r="V38" s="219">
        <f t="shared" si="16"/>
        <v>74104.11</v>
      </c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199" t="s">
        <v>472</v>
      </c>
      <c r="AJ38" s="205">
        <f>B38+F38+I38+K38+N38+T38</f>
        <v>492665.61</v>
      </c>
      <c r="AK38" s="206">
        <f>C38+G38+J38+L38+O38+R38+U38</f>
        <v>229961.9</v>
      </c>
      <c r="AL38" s="205">
        <f>D38+E38+H38+M38+P38+S38+V38</f>
        <v>722627.51</v>
      </c>
    </row>
    <row r="39" spans="1:38" ht="11.4" customHeight="1">
      <c r="A39" s="220" t="s">
        <v>473</v>
      </c>
      <c r="B39" s="196">
        <f t="shared" ref="B39:P39" si="18">B26+B30+B34+B38</f>
        <v>558312</v>
      </c>
      <c r="C39" s="195">
        <f t="shared" si="18"/>
        <v>89545.62</v>
      </c>
      <c r="D39" s="195">
        <f t="shared" si="18"/>
        <v>647857.62</v>
      </c>
      <c r="E39" s="195">
        <f t="shared" si="18"/>
        <v>503046</v>
      </c>
      <c r="F39" s="195">
        <f t="shared" si="18"/>
        <v>370748.17</v>
      </c>
      <c r="G39" s="195">
        <f t="shared" si="18"/>
        <v>132297.82999999999</v>
      </c>
      <c r="H39" s="195">
        <f t="shared" si="18"/>
        <v>637004.28</v>
      </c>
      <c r="I39" s="195">
        <f t="shared" si="18"/>
        <v>469476.21</v>
      </c>
      <c r="J39" s="195">
        <f t="shared" si="18"/>
        <v>167528.07</v>
      </c>
      <c r="K39" s="195">
        <f t="shared" si="18"/>
        <v>2000000</v>
      </c>
      <c r="L39" s="195">
        <f t="shared" si="18"/>
        <v>70958.91</v>
      </c>
      <c r="M39" s="190">
        <f t="shared" si="18"/>
        <v>2070958.91</v>
      </c>
      <c r="N39" s="194">
        <f t="shared" si="18"/>
        <v>320838</v>
      </c>
      <c r="O39" s="195">
        <f t="shared" si="18"/>
        <v>76598.11</v>
      </c>
      <c r="P39" s="190">
        <f t="shared" si="18"/>
        <v>397436.11</v>
      </c>
      <c r="Q39" s="194"/>
      <c r="R39" s="195">
        <f>R34+R38</f>
        <v>48328.77</v>
      </c>
      <c r="S39" s="221">
        <f t="shared" si="14"/>
        <v>48328.77</v>
      </c>
      <c r="T39" s="222"/>
      <c r="U39" s="223">
        <f>U38</f>
        <v>74104.11</v>
      </c>
      <c r="V39" s="224">
        <f t="shared" si="16"/>
        <v>74104.11</v>
      </c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0" t="s">
        <v>473</v>
      </c>
      <c r="AJ39" s="205">
        <f>B39+F39+I39+K39+N39+Q39+T39</f>
        <v>3719374.38</v>
      </c>
      <c r="AK39" s="205">
        <f>C39+G39+J39+L39+O39+R39+U39</f>
        <v>659361.42000000004</v>
      </c>
      <c r="AL39" s="205">
        <f>D39+E39+H39+M39+P39+S39+V39</f>
        <v>4378735.8</v>
      </c>
    </row>
    <row r="40" spans="1:38" ht="11.4" customHeight="1">
      <c r="A40" s="173" t="s">
        <v>474</v>
      </c>
      <c r="B40" s="183">
        <v>46526</v>
      </c>
      <c r="C40" s="177">
        <v>6322.35</v>
      </c>
      <c r="D40" s="177">
        <f t="shared" si="9"/>
        <v>52848.35</v>
      </c>
      <c r="E40" s="177">
        <v>41920.5</v>
      </c>
      <c r="F40" s="177">
        <v>32079.63</v>
      </c>
      <c r="G40" s="178">
        <f t="shared" si="8"/>
        <v>9840.8700000000008</v>
      </c>
      <c r="H40" s="177">
        <v>53083.69</v>
      </c>
      <c r="I40" s="177">
        <v>40622.25</v>
      </c>
      <c r="J40" s="180">
        <f t="shared" si="7"/>
        <v>12461.44</v>
      </c>
      <c r="K40" s="225"/>
      <c r="L40" s="225"/>
      <c r="M40" s="226"/>
      <c r="N40" s="207">
        <v>45834</v>
      </c>
      <c r="O40" s="175">
        <v>10315.620000000001</v>
      </c>
      <c r="P40" s="176">
        <f t="shared" si="13"/>
        <v>56149.62</v>
      </c>
      <c r="Q40" s="208"/>
      <c r="R40" s="177">
        <v>11890.41</v>
      </c>
      <c r="S40" s="210">
        <f t="shared" si="14"/>
        <v>11890.41</v>
      </c>
      <c r="T40" s="215"/>
      <c r="U40" s="216">
        <v>32817.53</v>
      </c>
      <c r="V40" s="215">
        <f t="shared" si="16"/>
        <v>32817.53</v>
      </c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173" t="s">
        <v>474</v>
      </c>
      <c r="AJ40" s="205"/>
      <c r="AK40" s="205"/>
      <c r="AL40" s="205"/>
    </row>
    <row r="41" spans="1:38" ht="11.4" customHeight="1">
      <c r="A41" s="173">
        <v>2</v>
      </c>
      <c r="B41" s="183">
        <v>46526</v>
      </c>
      <c r="C41" s="177">
        <v>6124.78</v>
      </c>
      <c r="D41" s="177">
        <f t="shared" si="9"/>
        <v>52650.78</v>
      </c>
      <c r="E41" s="177">
        <v>41920.5</v>
      </c>
      <c r="F41" s="177">
        <v>32266.76</v>
      </c>
      <c r="G41" s="178">
        <f t="shared" si="8"/>
        <v>9653.74</v>
      </c>
      <c r="H41" s="177">
        <v>53083.69</v>
      </c>
      <c r="I41" s="177">
        <v>40859.21</v>
      </c>
      <c r="J41" s="180">
        <f t="shared" si="7"/>
        <v>12224.48</v>
      </c>
      <c r="K41" s="225"/>
      <c r="L41" s="225"/>
      <c r="M41" s="226"/>
      <c r="N41" s="207">
        <v>45834</v>
      </c>
      <c r="O41" s="175">
        <v>10120.98</v>
      </c>
      <c r="P41" s="176">
        <f t="shared" si="13"/>
        <v>55954.98</v>
      </c>
      <c r="Q41" s="208"/>
      <c r="R41" s="177">
        <v>10739.73</v>
      </c>
      <c r="S41" s="210">
        <f t="shared" si="14"/>
        <v>10739.73</v>
      </c>
      <c r="T41" s="215"/>
      <c r="U41" s="216">
        <v>32817.53</v>
      </c>
      <c r="V41" s="215">
        <f t="shared" si="16"/>
        <v>32817.53</v>
      </c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173">
        <v>2</v>
      </c>
      <c r="AJ41" s="205"/>
      <c r="AK41" s="205"/>
      <c r="AL41" s="205"/>
    </row>
    <row r="42" spans="1:38" ht="11.4" customHeight="1">
      <c r="A42" s="173">
        <v>3</v>
      </c>
      <c r="B42" s="183">
        <v>46526</v>
      </c>
      <c r="C42" s="177">
        <v>5544.8</v>
      </c>
      <c r="D42" s="177">
        <f t="shared" si="9"/>
        <v>52070.8</v>
      </c>
      <c r="E42" s="177">
        <v>41920.5</v>
      </c>
      <c r="F42" s="177">
        <v>32454.99</v>
      </c>
      <c r="G42" s="178">
        <f t="shared" si="8"/>
        <v>9465.51</v>
      </c>
      <c r="H42" s="177">
        <v>53083.69</v>
      </c>
      <c r="I42" s="177">
        <v>41097.56</v>
      </c>
      <c r="J42" s="180">
        <f t="shared" si="7"/>
        <v>11986.13</v>
      </c>
      <c r="K42" s="225"/>
      <c r="L42" s="225"/>
      <c r="M42" s="226"/>
      <c r="N42" s="207">
        <v>45834</v>
      </c>
      <c r="O42" s="175">
        <v>9285.94</v>
      </c>
      <c r="P42" s="176">
        <f t="shared" si="13"/>
        <v>55119.94</v>
      </c>
      <c r="Q42" s="208"/>
      <c r="R42" s="177">
        <v>11890.41</v>
      </c>
      <c r="S42" s="210">
        <f t="shared" si="14"/>
        <v>11890.41</v>
      </c>
      <c r="T42" s="215"/>
      <c r="U42" s="216">
        <v>30700.27</v>
      </c>
      <c r="V42" s="215">
        <f t="shared" si="16"/>
        <v>30700.27</v>
      </c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173">
        <v>3</v>
      </c>
      <c r="AJ42" s="205"/>
      <c r="AK42" s="205"/>
      <c r="AL42" s="205"/>
    </row>
    <row r="43" spans="1:38" ht="11.4" customHeight="1">
      <c r="A43" s="173"/>
      <c r="B43" s="200">
        <f>SUM(B40:B42)</f>
        <v>139578</v>
      </c>
      <c r="C43" s="200">
        <f t="shared" ref="C43:AB43" si="19">SUM(C40:C42)</f>
        <v>17991.93</v>
      </c>
      <c r="D43" s="200">
        <f t="shared" si="19"/>
        <v>157569.93</v>
      </c>
      <c r="E43" s="200">
        <f t="shared" si="19"/>
        <v>125761.5</v>
      </c>
      <c r="F43" s="200">
        <f t="shared" si="19"/>
        <v>96801.38</v>
      </c>
      <c r="G43" s="200">
        <f t="shared" si="19"/>
        <v>28960.12</v>
      </c>
      <c r="H43" s="200">
        <f t="shared" si="19"/>
        <v>159251.07</v>
      </c>
      <c r="I43" s="200">
        <f t="shared" si="19"/>
        <v>122579.02</v>
      </c>
      <c r="J43" s="200">
        <f t="shared" si="19"/>
        <v>36672.050000000003</v>
      </c>
      <c r="K43" s="200">
        <f t="shared" si="19"/>
        <v>0</v>
      </c>
      <c r="L43" s="200">
        <f t="shared" si="19"/>
        <v>0</v>
      </c>
      <c r="M43" s="200">
        <f t="shared" si="19"/>
        <v>0</v>
      </c>
      <c r="N43" s="200">
        <f t="shared" si="19"/>
        <v>137502</v>
      </c>
      <c r="O43" s="200">
        <f t="shared" si="19"/>
        <v>29722.54</v>
      </c>
      <c r="P43" s="200">
        <f t="shared" si="19"/>
        <v>167224.54</v>
      </c>
      <c r="Q43" s="200">
        <f t="shared" si="19"/>
        <v>0</v>
      </c>
      <c r="R43" s="200">
        <f t="shared" si="19"/>
        <v>34520.550000000003</v>
      </c>
      <c r="S43" s="200">
        <f t="shared" si="19"/>
        <v>34520.550000000003</v>
      </c>
      <c r="T43" s="200">
        <f t="shared" si="19"/>
        <v>0</v>
      </c>
      <c r="U43" s="200">
        <f t="shared" si="19"/>
        <v>96335.33</v>
      </c>
      <c r="V43" s="200">
        <f t="shared" si="19"/>
        <v>96335.33</v>
      </c>
      <c r="W43" s="200">
        <f t="shared" si="19"/>
        <v>0</v>
      </c>
      <c r="X43" s="200">
        <f t="shared" si="19"/>
        <v>0</v>
      </c>
      <c r="Y43" s="200">
        <f t="shared" si="19"/>
        <v>0</v>
      </c>
      <c r="Z43" s="200">
        <f t="shared" si="19"/>
        <v>0</v>
      </c>
      <c r="AA43" s="200">
        <f t="shared" si="19"/>
        <v>0</v>
      </c>
      <c r="AB43" s="200">
        <f t="shared" si="19"/>
        <v>0</v>
      </c>
      <c r="AC43" s="241"/>
      <c r="AD43" s="241"/>
      <c r="AE43" s="241"/>
      <c r="AF43" s="241"/>
      <c r="AG43" s="241"/>
      <c r="AH43" s="241"/>
      <c r="AI43" s="199" t="s">
        <v>469</v>
      </c>
      <c r="AJ43" s="205">
        <f>B43+F43+I43+K43+N43+Q43+T43</f>
        <v>496460.4</v>
      </c>
      <c r="AK43" s="206">
        <f>C43+G43+J43+L43+O43+R43+U43</f>
        <v>244202.52</v>
      </c>
      <c r="AL43" s="205">
        <f>D43+E43+H43+M43+P43+S43+V43</f>
        <v>740662.92</v>
      </c>
    </row>
    <row r="44" spans="1:38" ht="11.4" customHeight="1">
      <c r="A44" s="173">
        <v>4</v>
      </c>
      <c r="B44" s="183">
        <v>46526</v>
      </c>
      <c r="C44" s="177">
        <v>5729.62</v>
      </c>
      <c r="D44" s="177">
        <f t="shared" si="9"/>
        <v>52255.62</v>
      </c>
      <c r="E44" s="177">
        <v>41920.5</v>
      </c>
      <c r="F44" s="177">
        <v>32644.31</v>
      </c>
      <c r="G44" s="178">
        <f t="shared" si="8"/>
        <v>9276.19</v>
      </c>
      <c r="H44" s="177">
        <v>53083.69</v>
      </c>
      <c r="I44" s="177">
        <v>41337.29</v>
      </c>
      <c r="J44" s="180">
        <f t="shared" si="7"/>
        <v>11746.4</v>
      </c>
      <c r="K44" s="225"/>
      <c r="L44" s="225"/>
      <c r="M44" s="226"/>
      <c r="N44" s="207">
        <v>45834</v>
      </c>
      <c r="O44" s="175">
        <v>9731.7099999999991</v>
      </c>
      <c r="P44" s="176">
        <f t="shared" si="13"/>
        <v>55565.71</v>
      </c>
      <c r="Q44" s="208"/>
      <c r="R44" s="177">
        <v>11506.85</v>
      </c>
      <c r="S44" s="210">
        <f t="shared" si="14"/>
        <v>11506.85</v>
      </c>
      <c r="T44" s="215"/>
      <c r="U44" s="216">
        <v>32817.53</v>
      </c>
      <c r="V44" s="215">
        <f t="shared" si="16"/>
        <v>32817.53</v>
      </c>
      <c r="W44" s="215"/>
      <c r="X44" s="215">
        <v>171.23</v>
      </c>
      <c r="Y44" s="215">
        <f>W44+X44</f>
        <v>171.23</v>
      </c>
      <c r="Z44" s="215"/>
      <c r="AA44" s="215"/>
      <c r="AB44" s="215"/>
      <c r="AC44" s="215">
        <f>AD44+AE44</f>
        <v>38164.879999999997</v>
      </c>
      <c r="AD44" s="215">
        <v>23196.18</v>
      </c>
      <c r="AE44" s="215">
        <v>14968.7</v>
      </c>
      <c r="AF44" s="215"/>
      <c r="AG44" s="215"/>
      <c r="AH44" s="215"/>
      <c r="AI44" s="173">
        <v>4</v>
      </c>
      <c r="AJ44" s="205"/>
      <c r="AK44" s="205"/>
      <c r="AL44" s="205"/>
    </row>
    <row r="45" spans="1:38" ht="11.4" customHeight="1">
      <c r="A45" s="173">
        <v>5</v>
      </c>
      <c r="B45" s="183">
        <v>46526</v>
      </c>
      <c r="C45" s="177">
        <v>5353.69</v>
      </c>
      <c r="D45" s="177">
        <f t="shared" si="9"/>
        <v>51879.69</v>
      </c>
      <c r="E45" s="177">
        <v>41920.5</v>
      </c>
      <c r="F45" s="177">
        <v>32834.730000000003</v>
      </c>
      <c r="G45" s="178">
        <f t="shared" si="8"/>
        <v>9085.77</v>
      </c>
      <c r="H45" s="177">
        <v>53083.69</v>
      </c>
      <c r="I45" s="177">
        <v>41578.43</v>
      </c>
      <c r="J45" s="180">
        <f t="shared" si="7"/>
        <v>11505.26</v>
      </c>
      <c r="K45" s="225"/>
      <c r="L45" s="225"/>
      <c r="M45" s="226"/>
      <c r="N45" s="207">
        <v>45834</v>
      </c>
      <c r="O45" s="175">
        <v>9229.42</v>
      </c>
      <c r="P45" s="176">
        <f t="shared" si="13"/>
        <v>55063.42</v>
      </c>
      <c r="Q45" s="208"/>
      <c r="R45" s="177">
        <v>11890.41</v>
      </c>
      <c r="S45" s="210">
        <f t="shared" si="14"/>
        <v>11890.41</v>
      </c>
      <c r="T45" s="215">
        <v>102223</v>
      </c>
      <c r="U45" s="216">
        <v>31758.9</v>
      </c>
      <c r="V45" s="215">
        <f t="shared" si="16"/>
        <v>133981.9</v>
      </c>
      <c r="W45" s="215"/>
      <c r="X45" s="215">
        <v>5136.99</v>
      </c>
      <c r="Y45" s="215">
        <f t="shared" ref="Y45:Y46" si="20">W45+X45</f>
        <v>5136.99</v>
      </c>
      <c r="Z45" s="215"/>
      <c r="AA45" s="215"/>
      <c r="AB45" s="215"/>
      <c r="AC45" s="215">
        <f t="shared" ref="AC45:AC46" si="21">AD45+AE45</f>
        <v>38164.879999999997</v>
      </c>
      <c r="AD45" s="215">
        <v>23389.48</v>
      </c>
      <c r="AE45" s="215">
        <v>14775.4</v>
      </c>
      <c r="AF45" s="215"/>
      <c r="AG45" s="215"/>
      <c r="AH45" s="215"/>
      <c r="AI45" s="173">
        <v>5</v>
      </c>
      <c r="AJ45" s="205"/>
      <c r="AK45" s="205"/>
      <c r="AL45" s="205"/>
    </row>
    <row r="46" spans="1:38" ht="11.4" customHeight="1">
      <c r="A46" s="173">
        <v>6</v>
      </c>
      <c r="B46" s="183">
        <v>46526</v>
      </c>
      <c r="C46" s="177">
        <v>5334.47</v>
      </c>
      <c r="D46" s="177">
        <f t="shared" si="9"/>
        <v>51860.47</v>
      </c>
      <c r="E46" s="177">
        <v>41920.5</v>
      </c>
      <c r="F46" s="177">
        <v>33026.269999999997</v>
      </c>
      <c r="G46" s="178">
        <f t="shared" si="8"/>
        <v>8894.23</v>
      </c>
      <c r="H46" s="177">
        <v>53083.69</v>
      </c>
      <c r="I46" s="177">
        <v>41820.97</v>
      </c>
      <c r="J46" s="180">
        <f t="shared" si="7"/>
        <v>11262.72</v>
      </c>
      <c r="K46" s="225"/>
      <c r="L46" s="225"/>
      <c r="M46" s="226"/>
      <c r="N46" s="207">
        <v>45834</v>
      </c>
      <c r="O46" s="175">
        <v>9342.43</v>
      </c>
      <c r="P46" s="176">
        <f t="shared" si="13"/>
        <v>55176.43</v>
      </c>
      <c r="Q46" s="208"/>
      <c r="R46" s="177">
        <v>11506.85</v>
      </c>
      <c r="S46" s="210">
        <f t="shared" si="14"/>
        <v>11506.85</v>
      </c>
      <c r="T46" s="215">
        <v>102223</v>
      </c>
      <c r="U46" s="216">
        <v>32209.8</v>
      </c>
      <c r="V46" s="215">
        <f t="shared" si="16"/>
        <v>134432.79999999999</v>
      </c>
      <c r="W46" s="215"/>
      <c r="X46" s="215">
        <v>5308.22</v>
      </c>
      <c r="Y46" s="215">
        <f t="shared" si="20"/>
        <v>5308.22</v>
      </c>
      <c r="Z46" s="215"/>
      <c r="AA46" s="215"/>
      <c r="AB46" s="215"/>
      <c r="AC46" s="215">
        <f t="shared" si="21"/>
        <v>38164.879999999997</v>
      </c>
      <c r="AD46" s="215">
        <v>23584.39</v>
      </c>
      <c r="AE46" s="215">
        <v>14580.49</v>
      </c>
      <c r="AF46" s="215"/>
      <c r="AG46" s="215"/>
      <c r="AH46" s="215"/>
      <c r="AI46" s="173">
        <v>6</v>
      </c>
      <c r="AJ46" s="205"/>
      <c r="AK46" s="205"/>
      <c r="AL46" s="205"/>
    </row>
    <row r="47" spans="1:38" ht="11.4" customHeight="1">
      <c r="A47" s="173"/>
      <c r="B47" s="200">
        <f>SUM(B44:B46)</f>
        <v>139578</v>
      </c>
      <c r="C47" s="200">
        <f t="shared" ref="C47:AE47" si="22">SUM(C44:C46)</f>
        <v>16417.78</v>
      </c>
      <c r="D47" s="200">
        <f t="shared" si="22"/>
        <v>155995.78</v>
      </c>
      <c r="E47" s="200">
        <f t="shared" si="22"/>
        <v>125761.5</v>
      </c>
      <c r="F47" s="200">
        <f t="shared" si="22"/>
        <v>98505.31</v>
      </c>
      <c r="G47" s="200">
        <f t="shared" si="22"/>
        <v>27256.19</v>
      </c>
      <c r="H47" s="200">
        <f t="shared" si="22"/>
        <v>159251.07</v>
      </c>
      <c r="I47" s="200">
        <f t="shared" si="22"/>
        <v>124736.69</v>
      </c>
      <c r="J47" s="200">
        <f t="shared" si="22"/>
        <v>34514.379999999997</v>
      </c>
      <c r="K47" s="200">
        <f t="shared" si="22"/>
        <v>0</v>
      </c>
      <c r="L47" s="200">
        <f t="shared" si="22"/>
        <v>0</v>
      </c>
      <c r="M47" s="200">
        <f t="shared" si="22"/>
        <v>0</v>
      </c>
      <c r="N47" s="200">
        <f t="shared" si="22"/>
        <v>137502</v>
      </c>
      <c r="O47" s="200">
        <f t="shared" si="22"/>
        <v>28303.56</v>
      </c>
      <c r="P47" s="200">
        <f t="shared" si="22"/>
        <v>165805.56</v>
      </c>
      <c r="Q47" s="200">
        <f t="shared" si="22"/>
        <v>0</v>
      </c>
      <c r="R47" s="200">
        <f t="shared" si="22"/>
        <v>34904.11</v>
      </c>
      <c r="S47" s="200">
        <f t="shared" si="22"/>
        <v>34904.11</v>
      </c>
      <c r="T47" s="200">
        <f t="shared" si="22"/>
        <v>204446</v>
      </c>
      <c r="U47" s="200">
        <f t="shared" si="22"/>
        <v>96786.23</v>
      </c>
      <c r="V47" s="200">
        <f t="shared" si="22"/>
        <v>301232.23</v>
      </c>
      <c r="W47" s="200">
        <f t="shared" si="22"/>
        <v>0</v>
      </c>
      <c r="X47" s="200">
        <f t="shared" si="22"/>
        <v>10616.44</v>
      </c>
      <c r="Y47" s="200">
        <f t="shared" si="22"/>
        <v>10616.44</v>
      </c>
      <c r="Z47" s="200">
        <f t="shared" si="22"/>
        <v>0</v>
      </c>
      <c r="AA47" s="200">
        <f t="shared" si="22"/>
        <v>0</v>
      </c>
      <c r="AB47" s="200">
        <f t="shared" si="22"/>
        <v>0</v>
      </c>
      <c r="AC47" s="200">
        <f t="shared" si="22"/>
        <v>114494.64</v>
      </c>
      <c r="AD47" s="200">
        <f t="shared" si="22"/>
        <v>70170.05</v>
      </c>
      <c r="AE47" s="200">
        <f t="shared" si="22"/>
        <v>44324.59</v>
      </c>
      <c r="AF47" s="241"/>
      <c r="AG47" s="241"/>
      <c r="AH47" s="241"/>
      <c r="AI47" s="199" t="s">
        <v>470</v>
      </c>
      <c r="AJ47" s="205">
        <f>B47+F47+I47+K47+N47+Q47+T47+W47+Z47+AD47</f>
        <v>774938.05</v>
      </c>
      <c r="AK47" s="206">
        <f>C47+G47+J47+L47+O47+R47+U47+X47+AA47+AE47</f>
        <v>293123.28000000003</v>
      </c>
      <c r="AL47" s="205">
        <f>D47+E47+H47+M47+P47+S47+V47+Y47+AB47+AC47</f>
        <v>1068061.33</v>
      </c>
    </row>
    <row r="48" spans="1:38" ht="11.4" customHeight="1">
      <c r="A48" s="173">
        <v>7</v>
      </c>
      <c r="B48" s="183">
        <v>46526</v>
      </c>
      <c r="C48" s="177">
        <v>4971.1899999999996</v>
      </c>
      <c r="D48" s="177">
        <f t="shared" si="9"/>
        <v>51497.19</v>
      </c>
      <c r="E48" s="177">
        <v>41920.5</v>
      </c>
      <c r="F48" s="177">
        <v>33218.92</v>
      </c>
      <c r="G48" s="178">
        <f t="shared" si="8"/>
        <v>8701.58</v>
      </c>
      <c r="H48" s="177">
        <v>53083.69</v>
      </c>
      <c r="I48" s="177">
        <v>42064.92</v>
      </c>
      <c r="J48" s="180">
        <f t="shared" si="7"/>
        <v>11018.77</v>
      </c>
      <c r="K48" s="225"/>
      <c r="L48" s="225"/>
      <c r="M48" s="226"/>
      <c r="N48" s="207">
        <v>45834</v>
      </c>
      <c r="O48" s="175">
        <v>8852.7000000000007</v>
      </c>
      <c r="P48" s="176">
        <f t="shared" si="13"/>
        <v>54686.7</v>
      </c>
      <c r="Q48" s="208"/>
      <c r="R48" s="182">
        <v>11890.41</v>
      </c>
      <c r="S48" s="210">
        <f t="shared" si="14"/>
        <v>11890.41</v>
      </c>
      <c r="T48" s="215">
        <v>102223</v>
      </c>
      <c r="U48" s="216">
        <v>30582.639999999999</v>
      </c>
      <c r="V48" s="215">
        <f t="shared" si="16"/>
        <v>132805.64000000001</v>
      </c>
      <c r="W48" s="215"/>
      <c r="X48" s="215">
        <v>5136.99</v>
      </c>
      <c r="Y48" s="215">
        <f>W48+X48</f>
        <v>5136.99</v>
      </c>
      <c r="Z48" s="215"/>
      <c r="AA48" s="215"/>
      <c r="AB48" s="215"/>
      <c r="AC48" s="215">
        <f>AD48+AE48</f>
        <v>38164.879999999997</v>
      </c>
      <c r="AD48" s="215">
        <v>23780.93</v>
      </c>
      <c r="AE48" s="215">
        <v>14383.95</v>
      </c>
      <c r="AF48" s="215"/>
      <c r="AG48" s="215"/>
      <c r="AH48" s="215"/>
      <c r="AI48" s="173">
        <v>7</v>
      </c>
      <c r="AJ48" s="205"/>
      <c r="AK48" s="205"/>
      <c r="AL48" s="205"/>
    </row>
    <row r="49" spans="1:41" ht="11.4" customHeight="1">
      <c r="A49" s="173">
        <v>8</v>
      </c>
      <c r="B49" s="183">
        <v>46526</v>
      </c>
      <c r="C49" s="177">
        <v>4939.32</v>
      </c>
      <c r="D49" s="177">
        <f t="shared" si="9"/>
        <v>51465.32</v>
      </c>
      <c r="E49" s="177">
        <v>41920.5</v>
      </c>
      <c r="F49" s="177">
        <v>33412.699999999997</v>
      </c>
      <c r="G49" s="178">
        <f t="shared" si="8"/>
        <v>8507.7999999999993</v>
      </c>
      <c r="H49" s="177">
        <v>53083.69</v>
      </c>
      <c r="I49" s="177">
        <v>42310.3</v>
      </c>
      <c r="J49" s="180">
        <f t="shared" si="7"/>
        <v>10773.39</v>
      </c>
      <c r="K49" s="225"/>
      <c r="L49" s="225"/>
      <c r="M49" s="226"/>
      <c r="N49" s="207">
        <v>45834</v>
      </c>
      <c r="O49" s="175">
        <v>8953.16</v>
      </c>
      <c r="P49" s="176">
        <f t="shared" si="13"/>
        <v>54787.16</v>
      </c>
      <c r="Q49" s="208">
        <v>2000000</v>
      </c>
      <c r="R49" s="209">
        <v>9972.6</v>
      </c>
      <c r="S49" s="210">
        <f t="shared" si="14"/>
        <v>2009972.6</v>
      </c>
      <c r="T49" s="215">
        <v>102223</v>
      </c>
      <c r="U49" s="216">
        <v>30994.32</v>
      </c>
      <c r="V49" s="215">
        <f t="shared" si="16"/>
        <v>133217.32</v>
      </c>
      <c r="W49" s="215"/>
      <c r="X49" s="215">
        <v>5308.22</v>
      </c>
      <c r="Y49" s="215">
        <f t="shared" ref="Y49:Y50" si="23">W49+X49</f>
        <v>5308.22</v>
      </c>
      <c r="Z49" s="215"/>
      <c r="AA49" s="215"/>
      <c r="AB49" s="215"/>
      <c r="AC49" s="215">
        <f t="shared" ref="AC49:AC50" si="24">AD49+AE49</f>
        <v>38164.879999999997</v>
      </c>
      <c r="AD49" s="215">
        <v>23979.1</v>
      </c>
      <c r="AE49" s="215">
        <v>14185.78</v>
      </c>
      <c r="AF49" s="215"/>
      <c r="AG49" s="215"/>
      <c r="AH49" s="215"/>
      <c r="AI49" s="173">
        <v>8</v>
      </c>
      <c r="AJ49" s="205"/>
      <c r="AK49" s="205"/>
      <c r="AL49" s="205"/>
    </row>
    <row r="50" spans="1:41" ht="11.4" customHeight="1">
      <c r="A50" s="173">
        <v>9</v>
      </c>
      <c r="B50" s="183">
        <v>46526</v>
      </c>
      <c r="C50" s="177">
        <v>4741.74</v>
      </c>
      <c r="D50" s="177">
        <f t="shared" si="9"/>
        <v>51267.74</v>
      </c>
      <c r="E50" s="177">
        <v>41920.5</v>
      </c>
      <c r="F50" s="177">
        <v>33607.61</v>
      </c>
      <c r="G50" s="178">
        <f t="shared" si="8"/>
        <v>8312.89</v>
      </c>
      <c r="H50" s="177">
        <v>53083.69</v>
      </c>
      <c r="I50" s="177">
        <v>42557.11</v>
      </c>
      <c r="J50" s="180">
        <f t="shared" si="7"/>
        <v>10526.58</v>
      </c>
      <c r="K50" s="225"/>
      <c r="L50" s="225"/>
      <c r="M50" s="226"/>
      <c r="N50" s="207">
        <v>45834</v>
      </c>
      <c r="O50" s="175">
        <v>8758.52</v>
      </c>
      <c r="P50" s="176">
        <f t="shared" si="13"/>
        <v>54592.52</v>
      </c>
      <c r="Q50" s="208"/>
      <c r="R50" s="209"/>
      <c r="S50" s="210"/>
      <c r="T50" s="215">
        <v>102223</v>
      </c>
      <c r="U50" s="216">
        <v>30386.59</v>
      </c>
      <c r="V50" s="215">
        <f t="shared" si="16"/>
        <v>132609.59</v>
      </c>
      <c r="W50" s="215"/>
      <c r="X50" s="215">
        <v>5308.22</v>
      </c>
      <c r="Y50" s="215">
        <f t="shared" si="23"/>
        <v>5308.22</v>
      </c>
      <c r="Z50" s="215"/>
      <c r="AA50" s="215">
        <v>1972.6</v>
      </c>
      <c r="AB50" s="215">
        <f>Z49:Z50+AA50</f>
        <v>1972.6</v>
      </c>
      <c r="AC50" s="215">
        <f t="shared" si="24"/>
        <v>38164.879999999997</v>
      </c>
      <c r="AD50" s="215">
        <v>24178.93</v>
      </c>
      <c r="AE50" s="215">
        <v>13985.95</v>
      </c>
      <c r="AF50" s="215"/>
      <c r="AG50" s="215"/>
      <c r="AH50" s="215"/>
      <c r="AI50" s="173">
        <v>9</v>
      </c>
      <c r="AJ50" s="205"/>
      <c r="AK50" s="205"/>
      <c r="AL50" s="205"/>
    </row>
    <row r="51" spans="1:41" ht="11.4" customHeight="1">
      <c r="A51" s="173"/>
      <c r="B51" s="200">
        <f>SUM(B48:B50)</f>
        <v>139578</v>
      </c>
      <c r="C51" s="200">
        <f t="shared" ref="C51:AE51" si="25">SUM(C48:C50)</f>
        <v>14652.25</v>
      </c>
      <c r="D51" s="200">
        <f t="shared" si="25"/>
        <v>154230.25</v>
      </c>
      <c r="E51" s="200">
        <f t="shared" si="25"/>
        <v>125761.5</v>
      </c>
      <c r="F51" s="200">
        <f t="shared" si="25"/>
        <v>100239.23</v>
      </c>
      <c r="G51" s="200">
        <f t="shared" si="25"/>
        <v>25522.27</v>
      </c>
      <c r="H51" s="200">
        <f t="shared" si="25"/>
        <v>159251.07</v>
      </c>
      <c r="I51" s="200">
        <f t="shared" si="25"/>
        <v>126932.33</v>
      </c>
      <c r="J51" s="200">
        <f t="shared" si="25"/>
        <v>32318.74</v>
      </c>
      <c r="K51" s="200">
        <f t="shared" si="25"/>
        <v>0</v>
      </c>
      <c r="L51" s="200">
        <f t="shared" si="25"/>
        <v>0</v>
      </c>
      <c r="M51" s="200">
        <f t="shared" si="25"/>
        <v>0</v>
      </c>
      <c r="N51" s="200">
        <f t="shared" si="25"/>
        <v>137502</v>
      </c>
      <c r="O51" s="200">
        <f t="shared" si="25"/>
        <v>26564.38</v>
      </c>
      <c r="P51" s="200">
        <f t="shared" si="25"/>
        <v>164066.38</v>
      </c>
      <c r="Q51" s="200">
        <f t="shared" si="25"/>
        <v>2000000</v>
      </c>
      <c r="R51" s="200">
        <f t="shared" si="25"/>
        <v>21863.01</v>
      </c>
      <c r="S51" s="200">
        <f t="shared" si="25"/>
        <v>2021863.01</v>
      </c>
      <c r="T51" s="200">
        <f t="shared" si="25"/>
        <v>306669</v>
      </c>
      <c r="U51" s="200">
        <f t="shared" si="25"/>
        <v>91963.55</v>
      </c>
      <c r="V51" s="200">
        <f t="shared" si="25"/>
        <v>398632.55</v>
      </c>
      <c r="W51" s="200">
        <f t="shared" si="25"/>
        <v>0</v>
      </c>
      <c r="X51" s="200">
        <f t="shared" si="25"/>
        <v>15753.43</v>
      </c>
      <c r="Y51" s="200">
        <f t="shared" si="25"/>
        <v>15753.43</v>
      </c>
      <c r="Z51" s="200">
        <f t="shared" si="25"/>
        <v>0</v>
      </c>
      <c r="AA51" s="200">
        <f t="shared" si="25"/>
        <v>1972.6</v>
      </c>
      <c r="AB51" s="200">
        <f t="shared" si="25"/>
        <v>1972.6</v>
      </c>
      <c r="AC51" s="200">
        <f t="shared" si="25"/>
        <v>114494.64</v>
      </c>
      <c r="AD51" s="200">
        <f t="shared" si="25"/>
        <v>71938.960000000006</v>
      </c>
      <c r="AE51" s="200">
        <f t="shared" si="25"/>
        <v>42555.68</v>
      </c>
      <c r="AF51" s="241"/>
      <c r="AG51" s="241"/>
      <c r="AH51" s="241"/>
      <c r="AI51" s="199" t="s">
        <v>471</v>
      </c>
      <c r="AJ51" s="205">
        <f>B51+F51+I51+K51+N51+Q51+T51+W51+Z51+AD51</f>
        <v>2882859.52</v>
      </c>
      <c r="AK51" s="206">
        <f>C51+G51+J51+L51+O51+R51+U51+X51+AA51+AE51</f>
        <v>273165.90999999997</v>
      </c>
      <c r="AL51" s="205">
        <f>D51+E51+H51+M51+P51+S51+V51+Y51+AB51+AC51</f>
        <v>3156025.43</v>
      </c>
    </row>
    <row r="52" spans="1:41" ht="11.4" customHeight="1">
      <c r="A52" s="173">
        <v>10</v>
      </c>
      <c r="B52" s="183">
        <v>46526</v>
      </c>
      <c r="C52" s="177">
        <v>4397.58</v>
      </c>
      <c r="D52" s="177">
        <f t="shared" si="9"/>
        <v>50923.58</v>
      </c>
      <c r="E52" s="177">
        <v>41920.5</v>
      </c>
      <c r="F52" s="177">
        <v>33803.65</v>
      </c>
      <c r="G52" s="178">
        <f t="shared" si="8"/>
        <v>8116.85</v>
      </c>
      <c r="H52" s="177">
        <v>53083.69</v>
      </c>
      <c r="I52" s="177">
        <v>42805.36</v>
      </c>
      <c r="J52" s="180">
        <f t="shared" si="7"/>
        <v>10278.33</v>
      </c>
      <c r="K52" s="225"/>
      <c r="L52" s="225"/>
      <c r="M52" s="226"/>
      <c r="N52" s="207">
        <v>45834</v>
      </c>
      <c r="O52" s="175">
        <v>8287.6299999999992</v>
      </c>
      <c r="P52" s="176">
        <f t="shared" si="13"/>
        <v>54121.63</v>
      </c>
      <c r="Q52" s="208"/>
      <c r="R52" s="209"/>
      <c r="S52" s="210"/>
      <c r="T52" s="215">
        <v>102223</v>
      </c>
      <c r="U52" s="216">
        <v>28818.240000000002</v>
      </c>
      <c r="V52" s="215">
        <f t="shared" si="16"/>
        <v>131041.24</v>
      </c>
      <c r="W52" s="215"/>
      <c r="X52" s="215">
        <v>5136.99</v>
      </c>
      <c r="Y52" s="215">
        <f>W52+X52</f>
        <v>5136.99</v>
      </c>
      <c r="Z52" s="215"/>
      <c r="AA52" s="215">
        <v>9863.01</v>
      </c>
      <c r="AB52" s="215">
        <f>Z52+AA52</f>
        <v>9863.01</v>
      </c>
      <c r="AC52" s="215">
        <f>AD52+AE52</f>
        <v>38164.879999999997</v>
      </c>
      <c r="AD52" s="215">
        <v>24380.42</v>
      </c>
      <c r="AE52" s="215">
        <v>13784.46</v>
      </c>
      <c r="AF52" s="215"/>
      <c r="AG52" s="215"/>
      <c r="AH52" s="215"/>
      <c r="AI52" s="173">
        <v>10</v>
      </c>
      <c r="AJ52" s="205"/>
      <c r="AK52" s="205"/>
      <c r="AL52" s="205"/>
    </row>
    <row r="53" spans="1:41" ht="11.4" customHeight="1">
      <c r="A53" s="173">
        <v>11</v>
      </c>
      <c r="B53" s="183">
        <v>46526</v>
      </c>
      <c r="C53" s="177">
        <v>4346.59</v>
      </c>
      <c r="D53" s="177">
        <f t="shared" si="9"/>
        <v>50872.59</v>
      </c>
      <c r="E53" s="177">
        <v>41920.5</v>
      </c>
      <c r="F53" s="177">
        <v>34000.839999999997</v>
      </c>
      <c r="G53" s="178">
        <f t="shared" si="8"/>
        <v>7919.66</v>
      </c>
      <c r="H53" s="177">
        <v>53083.69</v>
      </c>
      <c r="I53" s="177">
        <v>43055.06</v>
      </c>
      <c r="J53" s="180">
        <f t="shared" si="7"/>
        <v>10028.629999999999</v>
      </c>
      <c r="K53" s="225"/>
      <c r="L53" s="225"/>
      <c r="M53" s="226"/>
      <c r="N53" s="207">
        <v>45834</v>
      </c>
      <c r="O53" s="175">
        <v>8369.24</v>
      </c>
      <c r="P53" s="176">
        <f t="shared" si="13"/>
        <v>54203.24</v>
      </c>
      <c r="Q53" s="208"/>
      <c r="R53" s="209"/>
      <c r="S53" s="210"/>
      <c r="T53" s="215">
        <v>102223</v>
      </c>
      <c r="U53" s="216">
        <v>29171.11</v>
      </c>
      <c r="V53" s="215">
        <f t="shared" si="16"/>
        <v>131394.10999999999</v>
      </c>
      <c r="W53" s="215"/>
      <c r="X53" s="215">
        <v>5308.22</v>
      </c>
      <c r="Y53" s="215">
        <f t="shared" ref="Y53:Y54" si="26">W53+X53</f>
        <v>5308.22</v>
      </c>
      <c r="Z53" s="215"/>
      <c r="AA53" s="215">
        <v>10191.780000000001</v>
      </c>
      <c r="AB53" s="215">
        <f t="shared" ref="AB53:AB54" si="27">Z53+AA53</f>
        <v>10191.780000000001</v>
      </c>
      <c r="AC53" s="215">
        <f>AD53+AE53</f>
        <v>38164.879999999997</v>
      </c>
      <c r="AD53" s="215">
        <v>24583.59</v>
      </c>
      <c r="AE53" s="215">
        <v>13581.29</v>
      </c>
      <c r="AF53" s="215"/>
      <c r="AG53" s="215"/>
      <c r="AH53" s="215"/>
      <c r="AI53" s="173">
        <v>11</v>
      </c>
      <c r="AJ53" s="205"/>
      <c r="AK53" s="205"/>
      <c r="AL53" s="205"/>
    </row>
    <row r="54" spans="1:41" ht="11.4" customHeight="1">
      <c r="A54" s="173">
        <v>12</v>
      </c>
      <c r="B54" s="183">
        <v>46526</v>
      </c>
      <c r="C54" s="177">
        <v>4015.18</v>
      </c>
      <c r="D54" s="177">
        <f t="shared" si="9"/>
        <v>50541.18</v>
      </c>
      <c r="E54" s="177">
        <v>41920.5</v>
      </c>
      <c r="F54" s="177">
        <v>34199.18</v>
      </c>
      <c r="G54" s="178">
        <f t="shared" si="8"/>
        <v>7721.32</v>
      </c>
      <c r="H54" s="177">
        <v>53083.69</v>
      </c>
      <c r="I54" s="177">
        <v>43306.22</v>
      </c>
      <c r="J54" s="180">
        <f t="shared" si="7"/>
        <v>9777.4699999999993</v>
      </c>
      <c r="K54" s="225"/>
      <c r="L54" s="225"/>
      <c r="M54" s="226"/>
      <c r="N54" s="207">
        <v>45834</v>
      </c>
      <c r="O54" s="175">
        <v>7910.91</v>
      </c>
      <c r="P54" s="176">
        <f t="shared" si="13"/>
        <v>53744.91</v>
      </c>
      <c r="Q54" s="208"/>
      <c r="R54" s="209"/>
      <c r="S54" s="210"/>
      <c r="T54" s="215">
        <v>102223</v>
      </c>
      <c r="U54" s="216">
        <v>27641.98</v>
      </c>
      <c r="V54" s="215">
        <f t="shared" si="16"/>
        <v>129864.98</v>
      </c>
      <c r="W54" s="215"/>
      <c r="X54" s="215">
        <v>5136.99</v>
      </c>
      <c r="Y54" s="215">
        <f t="shared" si="26"/>
        <v>5136.99</v>
      </c>
      <c r="Z54" s="215"/>
      <c r="AA54" s="215">
        <v>9863.01</v>
      </c>
      <c r="AB54" s="215">
        <f t="shared" si="27"/>
        <v>9863.01</v>
      </c>
      <c r="AC54" s="215">
        <f>AD54+AE54</f>
        <v>38164.879999999997</v>
      </c>
      <c r="AD54" s="215">
        <v>24788.46</v>
      </c>
      <c r="AE54" s="215">
        <v>13376.42</v>
      </c>
      <c r="AF54" s="215"/>
      <c r="AG54" s="215"/>
      <c r="AH54" s="215"/>
      <c r="AI54" s="173">
        <v>12</v>
      </c>
      <c r="AJ54" s="205"/>
      <c r="AK54" s="205"/>
      <c r="AL54" s="205"/>
    </row>
    <row r="55" spans="1:41" ht="11.4" customHeight="1">
      <c r="A55" s="173"/>
      <c r="B55" s="200">
        <f>SUM(B52:B54)</f>
        <v>139578</v>
      </c>
      <c r="C55" s="200">
        <f t="shared" ref="C55:AE55" si="28">SUM(C52:C54)</f>
        <v>12759.35</v>
      </c>
      <c r="D55" s="200">
        <f t="shared" si="28"/>
        <v>152337.35</v>
      </c>
      <c r="E55" s="200">
        <f t="shared" si="28"/>
        <v>125761.5</v>
      </c>
      <c r="F55" s="200">
        <f t="shared" si="28"/>
        <v>102003.67</v>
      </c>
      <c r="G55" s="200">
        <f t="shared" si="28"/>
        <v>23757.83</v>
      </c>
      <c r="H55" s="200">
        <f t="shared" si="28"/>
        <v>159251.07</v>
      </c>
      <c r="I55" s="200">
        <f t="shared" si="28"/>
        <v>129166.64</v>
      </c>
      <c r="J55" s="200">
        <f t="shared" si="28"/>
        <v>30084.43</v>
      </c>
      <c r="K55" s="200">
        <f t="shared" si="28"/>
        <v>0</v>
      </c>
      <c r="L55" s="200">
        <f t="shared" si="28"/>
        <v>0</v>
      </c>
      <c r="M55" s="200">
        <f t="shared" si="28"/>
        <v>0</v>
      </c>
      <c r="N55" s="200">
        <f t="shared" si="28"/>
        <v>137502</v>
      </c>
      <c r="O55" s="200">
        <f t="shared" si="28"/>
        <v>24567.78</v>
      </c>
      <c r="P55" s="200">
        <f t="shared" si="28"/>
        <v>162069.78</v>
      </c>
      <c r="Q55" s="200">
        <f t="shared" si="28"/>
        <v>0</v>
      </c>
      <c r="R55" s="200">
        <f t="shared" si="28"/>
        <v>0</v>
      </c>
      <c r="S55" s="200">
        <f t="shared" si="28"/>
        <v>0</v>
      </c>
      <c r="T55" s="200">
        <f t="shared" si="28"/>
        <v>306669</v>
      </c>
      <c r="U55" s="200">
        <f t="shared" si="28"/>
        <v>85631.33</v>
      </c>
      <c r="V55" s="200">
        <f t="shared" si="28"/>
        <v>392300.33</v>
      </c>
      <c r="W55" s="200">
        <f t="shared" si="28"/>
        <v>0</v>
      </c>
      <c r="X55" s="200">
        <f t="shared" si="28"/>
        <v>15582.2</v>
      </c>
      <c r="Y55" s="200">
        <f t="shared" si="28"/>
        <v>15582.2</v>
      </c>
      <c r="Z55" s="200">
        <f t="shared" si="28"/>
        <v>0</v>
      </c>
      <c r="AA55" s="200">
        <f t="shared" si="28"/>
        <v>29917.8</v>
      </c>
      <c r="AB55" s="200">
        <f t="shared" si="28"/>
        <v>29917.8</v>
      </c>
      <c r="AC55" s="200">
        <f t="shared" si="28"/>
        <v>114494.64</v>
      </c>
      <c r="AD55" s="200">
        <f t="shared" si="28"/>
        <v>73752.47</v>
      </c>
      <c r="AE55" s="200">
        <f t="shared" si="28"/>
        <v>40742.17</v>
      </c>
      <c r="AF55" s="200"/>
      <c r="AG55" s="200"/>
      <c r="AH55" s="200"/>
      <c r="AI55" s="199" t="s">
        <v>472</v>
      </c>
      <c r="AJ55" s="205">
        <f>B55+F55+I55+K55+N55+Q55+T55+W55+Z55+AD55</f>
        <v>888671.78</v>
      </c>
      <c r="AK55" s="206">
        <f>C55+G55+J55+L55+O55+R55+U55+X55+AA55+AE55</f>
        <v>263042.89</v>
      </c>
      <c r="AL55" s="205">
        <f>D55+E55+H55+M55+P55+S55+V55+Y55+AB55+AC55</f>
        <v>1151714.67</v>
      </c>
    </row>
    <row r="56" spans="1:41" ht="11.4" customHeight="1">
      <c r="A56" s="220" t="s">
        <v>475</v>
      </c>
      <c r="B56" s="196">
        <f>B43+B47+B51+B55</f>
        <v>558312</v>
      </c>
      <c r="C56" s="196">
        <f t="shared" ref="C56:AA56" si="29">C43+C47+C51+C55</f>
        <v>61821.31</v>
      </c>
      <c r="D56" s="196">
        <f t="shared" si="29"/>
        <v>620133.31000000006</v>
      </c>
      <c r="E56" s="196">
        <f t="shared" si="29"/>
        <v>503046</v>
      </c>
      <c r="F56" s="196">
        <f t="shared" si="29"/>
        <v>397549.59</v>
      </c>
      <c r="G56" s="196">
        <f t="shared" si="29"/>
        <v>105496.41</v>
      </c>
      <c r="H56" s="196">
        <f t="shared" si="29"/>
        <v>637004.28</v>
      </c>
      <c r="I56" s="196">
        <f t="shared" si="29"/>
        <v>503414.68</v>
      </c>
      <c r="J56" s="196">
        <f t="shared" si="29"/>
        <v>133589.6</v>
      </c>
      <c r="K56" s="196">
        <f t="shared" si="29"/>
        <v>0</v>
      </c>
      <c r="L56" s="196">
        <f t="shared" si="29"/>
        <v>0</v>
      </c>
      <c r="M56" s="196">
        <f t="shared" si="29"/>
        <v>0</v>
      </c>
      <c r="N56" s="196">
        <f t="shared" si="29"/>
        <v>550008</v>
      </c>
      <c r="O56" s="196">
        <f t="shared" si="29"/>
        <v>109158.26</v>
      </c>
      <c r="P56" s="196">
        <f t="shared" si="29"/>
        <v>659166.26</v>
      </c>
      <c r="Q56" s="196">
        <f t="shared" si="29"/>
        <v>2000000</v>
      </c>
      <c r="R56" s="196">
        <f t="shared" si="29"/>
        <v>91287.67</v>
      </c>
      <c r="S56" s="196">
        <f t="shared" si="29"/>
        <v>2091287.67</v>
      </c>
      <c r="T56" s="196">
        <f>T43+T47+T51+T55</f>
        <v>817784</v>
      </c>
      <c r="U56" s="196">
        <f>U43+U47+U51+U55</f>
        <v>370716.44</v>
      </c>
      <c r="V56" s="196">
        <f t="shared" si="29"/>
        <v>1188500.44</v>
      </c>
      <c r="W56" s="196">
        <f t="shared" si="29"/>
        <v>0</v>
      </c>
      <c r="X56" s="196">
        <f t="shared" si="29"/>
        <v>41952.07</v>
      </c>
      <c r="Y56" s="196">
        <f>Y43+Y47+Y51+Y55</f>
        <v>41952.07</v>
      </c>
      <c r="Z56" s="196">
        <f t="shared" si="29"/>
        <v>0</v>
      </c>
      <c r="AA56" s="196">
        <f t="shared" si="29"/>
        <v>31890.400000000001</v>
      </c>
      <c r="AB56" s="196">
        <f>AB43+AB47+AB51+AB55</f>
        <v>31890.400000000001</v>
      </c>
      <c r="AC56" s="196">
        <f t="shared" ref="AC56:AE56" si="30">AC43+AC47+AC51+AC55</f>
        <v>343483.92</v>
      </c>
      <c r="AD56" s="196">
        <f t="shared" si="30"/>
        <v>215861.48</v>
      </c>
      <c r="AE56" s="196">
        <f t="shared" si="30"/>
        <v>127622.44</v>
      </c>
      <c r="AF56" s="222"/>
      <c r="AG56" s="222"/>
      <c r="AH56" s="222"/>
      <c r="AI56" s="220" t="s">
        <v>475</v>
      </c>
      <c r="AJ56" s="205">
        <f>B56+F56+I56+K56+N56+Q56+T56+W56+Z56+AD56</f>
        <v>5042929.75</v>
      </c>
      <c r="AK56" s="205">
        <f>C56+G56+J56+L56+O56+R56+U56+X56+AA56+AE56</f>
        <v>1073534.6000000001</v>
      </c>
      <c r="AL56" s="205">
        <f>D56+E56+H56+M56+P56+S56+V56+Y56+AB56+AC56</f>
        <v>6116464.3499999996</v>
      </c>
      <c r="AO56" s="283"/>
    </row>
    <row r="57" spans="1:41" ht="11.4" customHeight="1">
      <c r="A57" s="173" t="s">
        <v>476</v>
      </c>
      <c r="B57" s="183">
        <v>46526</v>
      </c>
      <c r="C57" s="177">
        <v>3951.44</v>
      </c>
      <c r="D57" s="177">
        <f t="shared" si="9"/>
        <v>50477.440000000002</v>
      </c>
      <c r="E57" s="177">
        <v>41920.5</v>
      </c>
      <c r="F57" s="177">
        <v>34398.67</v>
      </c>
      <c r="G57" s="178">
        <f t="shared" si="8"/>
        <v>7521.83</v>
      </c>
      <c r="H57" s="227">
        <v>53083.69</v>
      </c>
      <c r="I57" s="177">
        <v>43558.84</v>
      </c>
      <c r="J57" s="180">
        <f t="shared" si="7"/>
        <v>9524.85</v>
      </c>
      <c r="K57" s="225"/>
      <c r="L57" s="225"/>
      <c r="M57" s="226"/>
      <c r="N57" s="207">
        <v>45834</v>
      </c>
      <c r="O57" s="175">
        <v>7979.97</v>
      </c>
      <c r="P57" s="176">
        <f t="shared" si="13"/>
        <v>53813.97</v>
      </c>
      <c r="Q57" s="208"/>
      <c r="R57" s="209"/>
      <c r="S57" s="210"/>
      <c r="T57" s="215">
        <v>102223</v>
      </c>
      <c r="U57" s="216">
        <v>27955.64</v>
      </c>
      <c r="V57" s="215">
        <f t="shared" si="16"/>
        <v>130178.64</v>
      </c>
      <c r="W57" s="215"/>
      <c r="X57" s="215">
        <v>5308.22</v>
      </c>
      <c r="Y57" s="215">
        <f>W57+X57</f>
        <v>5308.22</v>
      </c>
      <c r="Z57" s="215"/>
      <c r="AA57" s="215">
        <v>10191.780000000001</v>
      </c>
      <c r="AB57" s="215">
        <f>Z57+AA57</f>
        <v>10191.780000000001</v>
      </c>
      <c r="AC57" s="215">
        <f>AD57+AE57</f>
        <v>38164.879999999997</v>
      </c>
      <c r="AD57" s="215">
        <v>24995.03</v>
      </c>
      <c r="AE57" s="215">
        <v>13169.85</v>
      </c>
      <c r="AF57" s="215"/>
      <c r="AG57" s="215"/>
      <c r="AH57" s="215"/>
      <c r="AI57" s="173" t="s">
        <v>476</v>
      </c>
      <c r="AJ57" s="205">
        <f>AJ43+AJ47+AJ51+AJ55</f>
        <v>5042929.75</v>
      </c>
      <c r="AK57" s="205">
        <f t="shared" ref="AK57:AL57" si="31">AK43+AK47+AK51+AK55</f>
        <v>1073534.6000000001</v>
      </c>
      <c r="AL57" s="205">
        <f t="shared" si="31"/>
        <v>6116464.3499999996</v>
      </c>
    </row>
    <row r="58" spans="1:41" ht="11.4" customHeight="1">
      <c r="A58" s="173">
        <v>2</v>
      </c>
      <c r="B58" s="183">
        <v>46526</v>
      </c>
      <c r="C58" s="177">
        <v>3753.86</v>
      </c>
      <c r="D58" s="177">
        <f t="shared" si="9"/>
        <v>50279.86</v>
      </c>
      <c r="E58" s="177">
        <v>41920.5</v>
      </c>
      <c r="F58" s="177">
        <v>34599.33</v>
      </c>
      <c r="G58" s="178">
        <f t="shared" si="8"/>
        <v>7321.17</v>
      </c>
      <c r="H58" s="227">
        <v>53083.69</v>
      </c>
      <c r="I58" s="177">
        <v>43812.93</v>
      </c>
      <c r="J58" s="180">
        <f t="shared" si="7"/>
        <v>9270.76</v>
      </c>
      <c r="K58" s="225"/>
      <c r="L58" s="225"/>
      <c r="M58" s="226"/>
      <c r="N58" s="207">
        <v>45834</v>
      </c>
      <c r="O58" s="175">
        <v>7785.33</v>
      </c>
      <c r="P58" s="176">
        <f t="shared" si="13"/>
        <v>53619.33</v>
      </c>
      <c r="Q58" s="208"/>
      <c r="R58" s="209"/>
      <c r="S58" s="210"/>
      <c r="T58" s="215">
        <v>102223</v>
      </c>
      <c r="U58" s="216">
        <v>27347.9</v>
      </c>
      <c r="V58" s="215">
        <f t="shared" si="16"/>
        <v>129570.9</v>
      </c>
      <c r="W58" s="215"/>
      <c r="X58" s="215">
        <v>5308.22</v>
      </c>
      <c r="Y58" s="215">
        <f t="shared" ref="Y58:Y59" si="32">W58+X58</f>
        <v>5308.22</v>
      </c>
      <c r="Z58" s="215"/>
      <c r="AA58" s="215">
        <v>10191.780000000001</v>
      </c>
      <c r="AB58" s="215">
        <f t="shared" ref="AB58:AB66" si="33">Z58+AA58</f>
        <v>10191.780000000001</v>
      </c>
      <c r="AC58" s="215">
        <f t="shared" ref="AC58:AC71" si="34">AD58+AE58</f>
        <v>38164.879999999997</v>
      </c>
      <c r="AD58" s="215">
        <v>25203.32</v>
      </c>
      <c r="AE58" s="215">
        <v>12961.56</v>
      </c>
      <c r="AF58" s="215"/>
      <c r="AG58" s="215"/>
      <c r="AH58" s="215"/>
      <c r="AI58" s="173">
        <v>2</v>
      </c>
      <c r="AJ58" s="205"/>
      <c r="AK58" s="205"/>
      <c r="AL58" s="205"/>
    </row>
    <row r="59" spans="1:41" ht="11.4" customHeight="1">
      <c r="A59" s="173">
        <v>3</v>
      </c>
      <c r="B59" s="183">
        <v>46526</v>
      </c>
      <c r="C59" s="177">
        <v>3212.13</v>
      </c>
      <c r="D59" s="177">
        <f t="shared" si="9"/>
        <v>49738.13</v>
      </c>
      <c r="E59" s="177">
        <v>41920.5</v>
      </c>
      <c r="F59" s="177">
        <v>34801.160000000003</v>
      </c>
      <c r="G59" s="178">
        <f t="shared" si="8"/>
        <v>7119.34</v>
      </c>
      <c r="H59" s="227">
        <v>53083.69</v>
      </c>
      <c r="I59" s="177">
        <v>44068.5</v>
      </c>
      <c r="J59" s="180">
        <f t="shared" si="7"/>
        <v>9015.19</v>
      </c>
      <c r="K59" s="225"/>
      <c r="L59" s="225"/>
      <c r="M59" s="226"/>
      <c r="N59" s="207">
        <v>45834</v>
      </c>
      <c r="O59" s="175">
        <v>6856.11</v>
      </c>
      <c r="P59" s="176">
        <f t="shared" si="13"/>
        <v>52690.11</v>
      </c>
      <c r="Q59" s="208"/>
      <c r="R59" s="209"/>
      <c r="S59" s="210"/>
      <c r="T59" s="215">
        <v>102223</v>
      </c>
      <c r="U59" s="216">
        <v>24152.41</v>
      </c>
      <c r="V59" s="215">
        <f t="shared" si="16"/>
        <v>126375.41</v>
      </c>
      <c r="W59" s="215">
        <v>2500000</v>
      </c>
      <c r="X59" s="215">
        <f>4794.52+5136.99</f>
        <v>9931.51</v>
      </c>
      <c r="Y59" s="215">
        <f t="shared" si="32"/>
        <v>2509931.5099999998</v>
      </c>
      <c r="Z59" s="215"/>
      <c r="AA59" s="215">
        <v>9205.48</v>
      </c>
      <c r="AB59" s="215">
        <f t="shared" si="33"/>
        <v>9205.48</v>
      </c>
      <c r="AC59" s="215">
        <f t="shared" si="34"/>
        <v>38164.879999999997</v>
      </c>
      <c r="AD59" s="215">
        <v>25413.35</v>
      </c>
      <c r="AE59" s="215">
        <v>12751.53</v>
      </c>
      <c r="AF59" s="381"/>
      <c r="AG59" s="215"/>
      <c r="AH59" s="215"/>
      <c r="AI59" s="173">
        <v>3</v>
      </c>
      <c r="AJ59" s="205"/>
      <c r="AK59" s="205"/>
      <c r="AL59" s="205"/>
    </row>
    <row r="60" spans="1:41" ht="11.4" customHeight="1">
      <c r="A60" s="173"/>
      <c r="B60" s="219">
        <f t="shared" ref="B60:V60" si="35">SUM(B57:B59)</f>
        <v>139578</v>
      </c>
      <c r="C60" s="219">
        <f t="shared" si="35"/>
        <v>10917.43</v>
      </c>
      <c r="D60" s="219">
        <f t="shared" si="35"/>
        <v>150495.43</v>
      </c>
      <c r="E60" s="219">
        <f t="shared" si="35"/>
        <v>125761.5</v>
      </c>
      <c r="F60" s="219">
        <f t="shared" si="35"/>
        <v>103799.16</v>
      </c>
      <c r="G60" s="219">
        <f t="shared" si="35"/>
        <v>21962.34</v>
      </c>
      <c r="H60" s="219">
        <f t="shared" si="35"/>
        <v>159251.07</v>
      </c>
      <c r="I60" s="219">
        <f t="shared" si="35"/>
        <v>131440.26999999999</v>
      </c>
      <c r="J60" s="219">
        <f t="shared" si="35"/>
        <v>27810.799999999999</v>
      </c>
      <c r="K60" s="219">
        <f t="shared" si="35"/>
        <v>0</v>
      </c>
      <c r="L60" s="219">
        <f t="shared" si="35"/>
        <v>0</v>
      </c>
      <c r="M60" s="219">
        <f t="shared" si="35"/>
        <v>0</v>
      </c>
      <c r="N60" s="219">
        <f t="shared" si="35"/>
        <v>137502</v>
      </c>
      <c r="O60" s="219">
        <f t="shared" si="35"/>
        <v>22621.41</v>
      </c>
      <c r="P60" s="219">
        <f t="shared" si="35"/>
        <v>160123.41</v>
      </c>
      <c r="Q60" s="219">
        <f t="shared" si="35"/>
        <v>0</v>
      </c>
      <c r="R60" s="219">
        <f t="shared" si="35"/>
        <v>0</v>
      </c>
      <c r="S60" s="219">
        <f t="shared" si="35"/>
        <v>0</v>
      </c>
      <c r="T60" s="219">
        <f t="shared" si="35"/>
        <v>306669</v>
      </c>
      <c r="U60" s="219">
        <f t="shared" si="35"/>
        <v>79455.95</v>
      </c>
      <c r="V60" s="219">
        <f t="shared" si="35"/>
        <v>386124.95</v>
      </c>
      <c r="W60" s="219">
        <f>SUM(W57:W59)</f>
        <v>2500000</v>
      </c>
      <c r="X60" s="219">
        <f t="shared" ref="X60:AE60" si="36">SUM(X57:X59)</f>
        <v>20547.95</v>
      </c>
      <c r="Y60" s="219">
        <f t="shared" si="36"/>
        <v>2520547.9500000002</v>
      </c>
      <c r="Z60" s="219">
        <f t="shared" si="36"/>
        <v>0</v>
      </c>
      <c r="AA60" s="219">
        <f t="shared" si="36"/>
        <v>29589.040000000001</v>
      </c>
      <c r="AB60" s="219">
        <f t="shared" si="36"/>
        <v>29589.040000000001</v>
      </c>
      <c r="AC60" s="219">
        <f t="shared" si="36"/>
        <v>114494.64</v>
      </c>
      <c r="AD60" s="219">
        <f t="shared" si="36"/>
        <v>75611.7</v>
      </c>
      <c r="AE60" s="219">
        <f t="shared" si="36"/>
        <v>38882.94</v>
      </c>
      <c r="AF60" s="219"/>
      <c r="AG60" s="219"/>
      <c r="AH60" s="219"/>
      <c r="AI60" s="173"/>
      <c r="AJ60" s="205">
        <f>B60+F60+I60+K60+N60+Q60+T60+W60+Z60+AD60+AF60</f>
        <v>3394600.13</v>
      </c>
      <c r="AK60" s="206">
        <f t="shared" ref="AK60:AK64" si="37">C60+G60+J60+L60+O60+R60+U60+X60+AA60+AE60+AG60</f>
        <v>251787.86</v>
      </c>
      <c r="AL60" s="205">
        <f t="shared" ref="AL60:AL64" si="38">D60+E60+H60+M60+P60+S60+V60+Y60+AB60+AC60+AH60</f>
        <v>3646387.99</v>
      </c>
    </row>
    <row r="61" spans="1:41" ht="11.4" customHeight="1">
      <c r="A61" s="173">
        <v>4</v>
      </c>
      <c r="B61" s="183">
        <v>46526</v>
      </c>
      <c r="C61" s="177">
        <v>3358.71</v>
      </c>
      <c r="D61" s="177">
        <f t="shared" si="9"/>
        <v>49884.71</v>
      </c>
      <c r="E61" s="177">
        <v>41920.5</v>
      </c>
      <c r="F61" s="177">
        <v>35004.17</v>
      </c>
      <c r="G61" s="178">
        <f t="shared" si="8"/>
        <v>6916.33</v>
      </c>
      <c r="H61" s="227">
        <v>53083.69</v>
      </c>
      <c r="I61" s="177">
        <v>44325.57</v>
      </c>
      <c r="J61" s="180">
        <f t="shared" si="7"/>
        <v>8758.1200000000008</v>
      </c>
      <c r="K61" s="225"/>
      <c r="L61" s="225"/>
      <c r="M61" s="226"/>
      <c r="N61" s="207">
        <v>45834</v>
      </c>
      <c r="O61" s="175">
        <v>7396.06</v>
      </c>
      <c r="P61" s="176">
        <f t="shared" si="13"/>
        <v>53230.06</v>
      </c>
      <c r="Q61" s="208"/>
      <c r="R61" s="209"/>
      <c r="S61" s="210"/>
      <c r="T61" s="215">
        <v>102223</v>
      </c>
      <c r="U61" s="216">
        <v>26132.43</v>
      </c>
      <c r="V61" s="215">
        <f t="shared" si="16"/>
        <v>128355.43</v>
      </c>
      <c r="W61" s="215"/>
      <c r="X61" s="215"/>
      <c r="Y61" s="215"/>
      <c r="Z61" s="215"/>
      <c r="AA61" s="215">
        <v>10191.780000000001</v>
      </c>
      <c r="AB61" s="215">
        <f t="shared" si="33"/>
        <v>10191.780000000001</v>
      </c>
      <c r="AC61" s="215">
        <f t="shared" si="34"/>
        <v>38164.879999999997</v>
      </c>
      <c r="AD61" s="215">
        <v>25625.119999999999</v>
      </c>
      <c r="AE61" s="215">
        <v>12539.76</v>
      </c>
      <c r="AF61" s="215"/>
      <c r="AG61" s="215">
        <v>5308.22</v>
      </c>
      <c r="AH61" s="215">
        <f>AF61+AG61</f>
        <v>5308.22</v>
      </c>
      <c r="AI61" s="173">
        <v>4</v>
      </c>
      <c r="AJ61" s="205"/>
      <c r="AK61" s="206"/>
      <c r="AL61" s="205"/>
    </row>
    <row r="62" spans="1:41" ht="11.4" customHeight="1">
      <c r="A62" s="173">
        <v>5</v>
      </c>
      <c r="B62" s="183">
        <v>46526</v>
      </c>
      <c r="C62" s="177">
        <v>3059.16</v>
      </c>
      <c r="D62" s="177">
        <f t="shared" si="9"/>
        <v>49585.16</v>
      </c>
      <c r="E62" s="177">
        <v>41920.5</v>
      </c>
      <c r="F62" s="177">
        <v>35208.36</v>
      </c>
      <c r="G62" s="178">
        <f t="shared" si="8"/>
        <v>6712.14</v>
      </c>
      <c r="H62" s="227">
        <v>53083.69</v>
      </c>
      <c r="I62" s="177">
        <v>44584.14</v>
      </c>
      <c r="J62" s="180">
        <f t="shared" si="7"/>
        <v>8499.5499999999993</v>
      </c>
      <c r="K62" s="225"/>
      <c r="L62" s="225"/>
      <c r="M62" s="226"/>
      <c r="N62" s="207">
        <v>45834</v>
      </c>
      <c r="O62" s="175">
        <v>6969.12</v>
      </c>
      <c r="P62" s="176">
        <f t="shared" si="13"/>
        <v>52803.12</v>
      </c>
      <c r="Q62" s="208"/>
      <c r="R62" s="209"/>
      <c r="S62" s="210"/>
      <c r="T62" s="215">
        <v>102223</v>
      </c>
      <c r="U62" s="216">
        <v>24701.32</v>
      </c>
      <c r="V62" s="215">
        <f t="shared" si="16"/>
        <v>126924.32</v>
      </c>
      <c r="W62" s="215"/>
      <c r="X62" s="215"/>
      <c r="Y62" s="215"/>
      <c r="Z62" s="215"/>
      <c r="AA62" s="215">
        <v>9863.01</v>
      </c>
      <c r="AB62" s="215">
        <f t="shared" si="33"/>
        <v>9863.01</v>
      </c>
      <c r="AC62" s="215">
        <f t="shared" si="34"/>
        <v>38164.879999999997</v>
      </c>
      <c r="AD62" s="215">
        <v>25838.67</v>
      </c>
      <c r="AE62" s="215">
        <v>12326.21</v>
      </c>
      <c r="AF62" s="215"/>
      <c r="AG62" s="215">
        <v>5308.22</v>
      </c>
      <c r="AH62" s="215">
        <f t="shared" ref="AH62:AH63" si="39">AF62+AG62</f>
        <v>5308.22</v>
      </c>
      <c r="AI62" s="173">
        <v>5</v>
      </c>
      <c r="AJ62" s="205"/>
      <c r="AK62" s="206"/>
      <c r="AL62" s="205"/>
    </row>
    <row r="63" spans="1:41" ht="11.4" customHeight="1">
      <c r="A63" s="173">
        <v>6</v>
      </c>
      <c r="B63" s="183">
        <v>46526</v>
      </c>
      <c r="C63" s="177">
        <v>2963.56</v>
      </c>
      <c r="D63" s="177">
        <f t="shared" si="9"/>
        <v>49489.56</v>
      </c>
      <c r="E63" s="177">
        <v>41920.5</v>
      </c>
      <c r="F63" s="177">
        <v>35413.74</v>
      </c>
      <c r="G63" s="178">
        <f t="shared" si="8"/>
        <v>6506.76</v>
      </c>
      <c r="H63" s="227">
        <v>53083.69</v>
      </c>
      <c r="I63" s="177">
        <v>44844.21</v>
      </c>
      <c r="J63" s="180">
        <f t="shared" si="7"/>
        <v>8239.48</v>
      </c>
      <c r="K63" s="225"/>
      <c r="L63" s="225"/>
      <c r="M63" s="226"/>
      <c r="N63" s="207">
        <v>45834</v>
      </c>
      <c r="O63" s="175">
        <v>7006.78</v>
      </c>
      <c r="P63" s="176">
        <f t="shared" si="13"/>
        <v>52840.78</v>
      </c>
      <c r="Q63" s="208"/>
      <c r="R63" s="209"/>
      <c r="S63" s="210"/>
      <c r="T63" s="215">
        <v>102223</v>
      </c>
      <c r="U63" s="216">
        <v>24916.959999999999</v>
      </c>
      <c r="V63" s="215">
        <f t="shared" si="16"/>
        <v>127139.96</v>
      </c>
      <c r="W63" s="215"/>
      <c r="X63" s="215"/>
      <c r="Y63" s="215"/>
      <c r="Z63" s="215"/>
      <c r="AA63" s="215">
        <v>10191.780000000001</v>
      </c>
      <c r="AB63" s="215">
        <f t="shared" si="33"/>
        <v>10191.780000000001</v>
      </c>
      <c r="AC63" s="215">
        <f t="shared" si="34"/>
        <v>38164.879999999997</v>
      </c>
      <c r="AD63" s="215">
        <v>26053.99</v>
      </c>
      <c r="AE63" s="215">
        <v>12110.89</v>
      </c>
      <c r="AF63" s="215"/>
      <c r="AG63" s="215">
        <v>5136.99</v>
      </c>
      <c r="AH63" s="215">
        <f t="shared" si="39"/>
        <v>5136.99</v>
      </c>
      <c r="AI63" s="173">
        <v>6</v>
      </c>
      <c r="AJ63" s="205"/>
      <c r="AK63" s="206"/>
      <c r="AL63" s="205"/>
    </row>
    <row r="64" spans="1:41" ht="11.4" customHeight="1">
      <c r="A64" s="173"/>
      <c r="B64" s="200">
        <f>SUM(B61:B63)</f>
        <v>139578</v>
      </c>
      <c r="C64" s="200">
        <f t="shared" ref="C64:AH64" si="40">SUM(C61:C63)</f>
        <v>9381.43</v>
      </c>
      <c r="D64" s="200">
        <f t="shared" si="40"/>
        <v>148959.43</v>
      </c>
      <c r="E64" s="200">
        <f t="shared" si="40"/>
        <v>125761.5</v>
      </c>
      <c r="F64" s="200">
        <f t="shared" si="40"/>
        <v>105626.27</v>
      </c>
      <c r="G64" s="200">
        <f t="shared" si="40"/>
        <v>20135.23</v>
      </c>
      <c r="H64" s="200">
        <f t="shared" si="40"/>
        <v>159251.07</v>
      </c>
      <c r="I64" s="200">
        <f t="shared" si="40"/>
        <v>133753.92000000001</v>
      </c>
      <c r="J64" s="200">
        <f t="shared" si="40"/>
        <v>25497.15</v>
      </c>
      <c r="K64" s="200">
        <f t="shared" si="40"/>
        <v>0</v>
      </c>
      <c r="L64" s="200">
        <f t="shared" si="40"/>
        <v>0</v>
      </c>
      <c r="M64" s="200">
        <f t="shared" si="40"/>
        <v>0</v>
      </c>
      <c r="N64" s="200">
        <f t="shared" si="40"/>
        <v>137502</v>
      </c>
      <c r="O64" s="200">
        <f t="shared" si="40"/>
        <v>21371.96</v>
      </c>
      <c r="P64" s="200">
        <f t="shared" si="40"/>
        <v>158873.96</v>
      </c>
      <c r="Q64" s="200">
        <f t="shared" si="40"/>
        <v>0</v>
      </c>
      <c r="R64" s="200">
        <f t="shared" si="40"/>
        <v>0</v>
      </c>
      <c r="S64" s="200">
        <f t="shared" si="40"/>
        <v>0</v>
      </c>
      <c r="T64" s="200">
        <f t="shared" si="40"/>
        <v>306669</v>
      </c>
      <c r="U64" s="200">
        <f t="shared" si="40"/>
        <v>75750.710000000006</v>
      </c>
      <c r="V64" s="200">
        <f t="shared" si="40"/>
        <v>382419.71</v>
      </c>
      <c r="W64" s="200">
        <f t="shared" si="40"/>
        <v>0</v>
      </c>
      <c r="X64" s="200">
        <f t="shared" si="40"/>
        <v>0</v>
      </c>
      <c r="Y64" s="200">
        <f t="shared" si="40"/>
        <v>0</v>
      </c>
      <c r="Z64" s="200">
        <f t="shared" si="40"/>
        <v>0</v>
      </c>
      <c r="AA64" s="200">
        <f t="shared" si="40"/>
        <v>30246.57</v>
      </c>
      <c r="AB64" s="200">
        <f t="shared" si="40"/>
        <v>30246.57</v>
      </c>
      <c r="AC64" s="200">
        <f t="shared" si="40"/>
        <v>114494.64</v>
      </c>
      <c r="AD64" s="200">
        <f t="shared" si="40"/>
        <v>77517.78</v>
      </c>
      <c r="AE64" s="200">
        <f t="shared" si="40"/>
        <v>36976.86</v>
      </c>
      <c r="AF64" s="200">
        <f t="shared" si="40"/>
        <v>0</v>
      </c>
      <c r="AG64" s="200">
        <f t="shared" si="40"/>
        <v>15753.43</v>
      </c>
      <c r="AH64" s="200">
        <f t="shared" si="40"/>
        <v>15753.43</v>
      </c>
      <c r="AI64" s="173"/>
      <c r="AJ64" s="205">
        <f>B64+F64+I64+K64+N64+Q64+T64+W64+Z64+AD64+AF64</f>
        <v>900646.97</v>
      </c>
      <c r="AK64" s="206">
        <f t="shared" si="37"/>
        <v>235113.34</v>
      </c>
      <c r="AL64" s="205">
        <f t="shared" si="38"/>
        <v>1135760.31</v>
      </c>
    </row>
    <row r="65" spans="1:38" ht="11.4" customHeight="1">
      <c r="A65" s="173">
        <v>7</v>
      </c>
      <c r="B65" s="183">
        <v>46526</v>
      </c>
      <c r="C65" s="177">
        <v>2676.76</v>
      </c>
      <c r="D65" s="177">
        <f t="shared" si="9"/>
        <v>49202.76</v>
      </c>
      <c r="E65" s="177">
        <v>41920.5</v>
      </c>
      <c r="F65" s="177">
        <v>35620.32</v>
      </c>
      <c r="G65" s="178">
        <f t="shared" si="8"/>
        <v>6300.18</v>
      </c>
      <c r="H65" s="227">
        <v>53083.69</v>
      </c>
      <c r="I65" s="177">
        <v>45105.8</v>
      </c>
      <c r="J65" s="180">
        <f t="shared" si="7"/>
        <v>7977.89</v>
      </c>
      <c r="K65" s="225"/>
      <c r="L65" s="225"/>
      <c r="M65" s="226"/>
      <c r="N65" s="207">
        <v>45834</v>
      </c>
      <c r="O65" s="175">
        <v>6592.4</v>
      </c>
      <c r="P65" s="176">
        <f t="shared" si="13"/>
        <v>52426.400000000001</v>
      </c>
      <c r="Q65" s="208"/>
      <c r="R65" s="209"/>
      <c r="S65" s="210"/>
      <c r="T65" s="215">
        <v>102223</v>
      </c>
      <c r="U65" s="216">
        <v>23525.05</v>
      </c>
      <c r="V65" s="215">
        <f t="shared" si="16"/>
        <v>125748.05</v>
      </c>
      <c r="W65" s="215"/>
      <c r="X65" s="215"/>
      <c r="Y65" s="215"/>
      <c r="Z65" s="215"/>
      <c r="AA65" s="215">
        <v>9863.01</v>
      </c>
      <c r="AB65" s="215">
        <f t="shared" si="33"/>
        <v>9863.01</v>
      </c>
      <c r="AC65" s="215">
        <f t="shared" si="34"/>
        <v>38164.879999999997</v>
      </c>
      <c r="AD65" s="215">
        <v>26271.1</v>
      </c>
      <c r="AE65" s="215">
        <v>11893.78</v>
      </c>
      <c r="AF65" s="215"/>
      <c r="AG65" s="215">
        <v>5308.22</v>
      </c>
      <c r="AH65" s="215">
        <f>AF65+AG65</f>
        <v>5308.22</v>
      </c>
      <c r="AI65" s="173">
        <v>7</v>
      </c>
      <c r="AJ65" s="205"/>
      <c r="AK65" s="206"/>
      <c r="AL65" s="205"/>
    </row>
    <row r="66" spans="1:38" ht="11.4" customHeight="1">
      <c r="A66" s="173">
        <v>8</v>
      </c>
      <c r="B66" s="183">
        <v>46526</v>
      </c>
      <c r="C66" s="177">
        <v>2568.41</v>
      </c>
      <c r="D66" s="177">
        <f t="shared" si="9"/>
        <v>49094.41</v>
      </c>
      <c r="E66" s="177">
        <v>41920.5</v>
      </c>
      <c r="F66" s="177">
        <v>35828.11</v>
      </c>
      <c r="G66" s="178">
        <f t="shared" si="8"/>
        <v>6092.39</v>
      </c>
      <c r="H66" s="227">
        <v>53083.69</v>
      </c>
      <c r="I66" s="177">
        <v>45368.92</v>
      </c>
      <c r="J66" s="180">
        <f t="shared" si="7"/>
        <v>7714.77</v>
      </c>
      <c r="K66" s="225"/>
      <c r="L66" s="225"/>
      <c r="M66" s="226"/>
      <c r="N66" s="207">
        <v>45834</v>
      </c>
      <c r="O66" s="175">
        <v>6617.51</v>
      </c>
      <c r="P66" s="176">
        <f t="shared" si="13"/>
        <v>52451.51</v>
      </c>
      <c r="Q66" s="208"/>
      <c r="R66" s="209"/>
      <c r="S66" s="210"/>
      <c r="T66" s="215">
        <v>102223</v>
      </c>
      <c r="U66" s="216">
        <v>23701.48</v>
      </c>
      <c r="V66" s="215">
        <f t="shared" si="16"/>
        <v>125924.48</v>
      </c>
      <c r="W66" s="215"/>
      <c r="X66" s="215"/>
      <c r="Y66" s="215"/>
      <c r="Z66" s="215">
        <v>2000000</v>
      </c>
      <c r="AA66" s="215">
        <f>10191.78+8219.18</f>
        <v>18410.96</v>
      </c>
      <c r="AB66" s="215">
        <f t="shared" si="33"/>
        <v>2018410.96</v>
      </c>
      <c r="AC66" s="215">
        <f t="shared" si="34"/>
        <v>38164.879999999997</v>
      </c>
      <c r="AD66" s="215">
        <v>26490.03</v>
      </c>
      <c r="AE66" s="215">
        <v>11674.85</v>
      </c>
      <c r="AF66" s="215"/>
      <c r="AG66" s="215">
        <v>5308.22</v>
      </c>
      <c r="AH66" s="215">
        <f t="shared" ref="AH66:AH67" si="41">AF66+AG66</f>
        <v>5308.22</v>
      </c>
      <c r="AI66" s="173">
        <v>8</v>
      </c>
      <c r="AJ66" s="205"/>
      <c r="AK66" s="206"/>
      <c r="AL66" s="205"/>
    </row>
    <row r="67" spans="1:38" ht="11.4" customHeight="1">
      <c r="A67" s="173">
        <v>9</v>
      </c>
      <c r="B67" s="183">
        <v>46526</v>
      </c>
      <c r="C67" s="177">
        <v>2370.83</v>
      </c>
      <c r="D67" s="177">
        <f t="shared" si="9"/>
        <v>48896.83</v>
      </c>
      <c r="E67" s="177">
        <v>41920.5</v>
      </c>
      <c r="F67" s="177">
        <v>36037.1</v>
      </c>
      <c r="G67" s="178">
        <f t="shared" si="8"/>
        <v>5883.4</v>
      </c>
      <c r="H67" s="227">
        <v>53083.69</v>
      </c>
      <c r="I67" s="177">
        <v>45633.57</v>
      </c>
      <c r="J67" s="180">
        <f t="shared" si="7"/>
        <v>7450.12</v>
      </c>
      <c r="K67" s="225"/>
      <c r="L67" s="225"/>
      <c r="M67" s="226"/>
      <c r="N67" s="207">
        <v>45834</v>
      </c>
      <c r="O67" s="175">
        <v>6422.87</v>
      </c>
      <c r="P67" s="176">
        <f t="shared" si="13"/>
        <v>52256.87</v>
      </c>
      <c r="Q67" s="208"/>
      <c r="R67" s="209"/>
      <c r="S67" s="210"/>
      <c r="T67" s="215">
        <v>102223</v>
      </c>
      <c r="U67" s="216">
        <v>23093.75</v>
      </c>
      <c r="V67" s="215">
        <f t="shared" si="16"/>
        <v>125316.75</v>
      </c>
      <c r="W67" s="215"/>
      <c r="X67" s="215"/>
      <c r="Y67" s="215"/>
      <c r="Z67" s="215"/>
      <c r="AA67" s="215"/>
      <c r="AB67" s="215"/>
      <c r="AC67" s="215">
        <f t="shared" si="34"/>
        <v>38164.879999999997</v>
      </c>
      <c r="AD67" s="215">
        <v>26710.78</v>
      </c>
      <c r="AE67" s="215">
        <v>11454.1</v>
      </c>
      <c r="AF67" s="215"/>
      <c r="AG67" s="215">
        <v>4794.5200000000004</v>
      </c>
      <c r="AH67" s="215">
        <f t="shared" si="41"/>
        <v>4794.5200000000004</v>
      </c>
      <c r="AI67" s="173">
        <v>9</v>
      </c>
      <c r="AJ67" s="205"/>
      <c r="AK67" s="206"/>
      <c r="AL67" s="205"/>
    </row>
    <row r="68" spans="1:38" ht="11.4" customHeight="1">
      <c r="A68" s="173"/>
      <c r="B68" s="200">
        <f>SUM(B65:B67)</f>
        <v>139578</v>
      </c>
      <c r="C68" s="200">
        <f t="shared" ref="C68:AH68" si="42">SUM(C65:C67)</f>
        <v>7616</v>
      </c>
      <c r="D68" s="200">
        <f t="shared" si="42"/>
        <v>147194</v>
      </c>
      <c r="E68" s="200">
        <f t="shared" si="42"/>
        <v>125761.5</v>
      </c>
      <c r="F68" s="200">
        <f t="shared" si="42"/>
        <v>107485.53</v>
      </c>
      <c r="G68" s="200">
        <f t="shared" si="42"/>
        <v>18275.97</v>
      </c>
      <c r="H68" s="200">
        <f t="shared" si="42"/>
        <v>159251.07</v>
      </c>
      <c r="I68" s="200">
        <f t="shared" si="42"/>
        <v>136108.29</v>
      </c>
      <c r="J68" s="200">
        <f t="shared" si="42"/>
        <v>23142.78</v>
      </c>
      <c r="K68" s="200">
        <f t="shared" si="42"/>
        <v>0</v>
      </c>
      <c r="L68" s="200">
        <f t="shared" si="42"/>
        <v>0</v>
      </c>
      <c r="M68" s="200">
        <f t="shared" si="42"/>
        <v>0</v>
      </c>
      <c r="N68" s="200">
        <f t="shared" si="42"/>
        <v>137502</v>
      </c>
      <c r="O68" s="200">
        <f t="shared" si="42"/>
        <v>19632.78</v>
      </c>
      <c r="P68" s="200">
        <f t="shared" si="42"/>
        <v>157134.78</v>
      </c>
      <c r="Q68" s="200">
        <f t="shared" si="42"/>
        <v>0</v>
      </c>
      <c r="R68" s="200">
        <f t="shared" si="42"/>
        <v>0</v>
      </c>
      <c r="S68" s="200">
        <f t="shared" si="42"/>
        <v>0</v>
      </c>
      <c r="T68" s="200">
        <f t="shared" si="42"/>
        <v>306669</v>
      </c>
      <c r="U68" s="200">
        <f t="shared" si="42"/>
        <v>70320.28</v>
      </c>
      <c r="V68" s="200">
        <f t="shared" si="42"/>
        <v>376989.28</v>
      </c>
      <c r="W68" s="200">
        <f t="shared" si="42"/>
        <v>0</v>
      </c>
      <c r="X68" s="200">
        <f t="shared" si="42"/>
        <v>0</v>
      </c>
      <c r="Y68" s="200">
        <f t="shared" si="42"/>
        <v>0</v>
      </c>
      <c r="Z68" s="200">
        <f t="shared" si="42"/>
        <v>2000000</v>
      </c>
      <c r="AA68" s="200">
        <f t="shared" si="42"/>
        <v>28273.97</v>
      </c>
      <c r="AB68" s="200">
        <f t="shared" si="42"/>
        <v>2028273.97</v>
      </c>
      <c r="AC68" s="200">
        <f t="shared" si="42"/>
        <v>114494.64</v>
      </c>
      <c r="AD68" s="200">
        <f t="shared" si="42"/>
        <v>79471.91</v>
      </c>
      <c r="AE68" s="200">
        <f t="shared" si="42"/>
        <v>35022.730000000003</v>
      </c>
      <c r="AF68" s="200">
        <f t="shared" si="42"/>
        <v>0</v>
      </c>
      <c r="AG68" s="200">
        <f t="shared" si="42"/>
        <v>15410.96</v>
      </c>
      <c r="AH68" s="200">
        <f t="shared" si="42"/>
        <v>15410.96</v>
      </c>
      <c r="AI68" s="173"/>
      <c r="AJ68" s="205">
        <f>B68+F68+I68+K68+N68+Q68+T68+W68+Z68+AD68+AF68</f>
        <v>2906814.73</v>
      </c>
      <c r="AK68" s="206">
        <f>C68+G68+J68+L68+O68+R68+U68+X68+AA68+AE68+AG68</f>
        <v>217695.47</v>
      </c>
      <c r="AL68" s="205">
        <f>D68+E68+H68+M68+P68+S68+V68+Y68+AB68+AC68+AH68</f>
        <v>3124510.2</v>
      </c>
    </row>
    <row r="69" spans="1:38" ht="11.4" customHeight="1">
      <c r="A69" s="173">
        <v>10</v>
      </c>
      <c r="B69" s="183">
        <v>46526</v>
      </c>
      <c r="C69" s="177">
        <v>2103.15</v>
      </c>
      <c r="D69" s="177">
        <f t="shared" si="9"/>
        <v>48629.15</v>
      </c>
      <c r="E69" s="177">
        <v>41920.5</v>
      </c>
      <c r="F69" s="177">
        <v>36247.32</v>
      </c>
      <c r="G69" s="178">
        <f t="shared" si="8"/>
        <v>5673.18</v>
      </c>
      <c r="H69" s="227">
        <v>53083.69</v>
      </c>
      <c r="I69" s="177">
        <v>45899.77</v>
      </c>
      <c r="J69" s="180">
        <f t="shared" si="7"/>
        <v>7183.92</v>
      </c>
      <c r="K69" s="225"/>
      <c r="L69" s="225"/>
      <c r="M69" s="226"/>
      <c r="N69" s="207">
        <v>45834</v>
      </c>
      <c r="O69" s="175">
        <v>6027.32</v>
      </c>
      <c r="P69" s="176">
        <f t="shared" si="13"/>
        <v>51861.32</v>
      </c>
      <c r="Q69" s="208"/>
      <c r="R69" s="209"/>
      <c r="S69" s="210"/>
      <c r="T69" s="215">
        <v>102223</v>
      </c>
      <c r="U69" s="216">
        <v>21760.65</v>
      </c>
      <c r="V69" s="215">
        <f t="shared" si="16"/>
        <v>123983.65</v>
      </c>
      <c r="W69" s="215"/>
      <c r="X69" s="215"/>
      <c r="Y69" s="215"/>
      <c r="Z69" s="215"/>
      <c r="AA69" s="215"/>
      <c r="AB69" s="215"/>
      <c r="AC69" s="215">
        <f t="shared" si="34"/>
        <v>38164.879999999997</v>
      </c>
      <c r="AD69" s="215">
        <v>26933.37</v>
      </c>
      <c r="AE69" s="215">
        <v>11231.51</v>
      </c>
      <c r="AF69" s="215">
        <v>416667</v>
      </c>
      <c r="AG69" s="215">
        <v>5650.68</v>
      </c>
      <c r="AH69" s="215">
        <f>AF69+AG69</f>
        <v>422317.68</v>
      </c>
      <c r="AI69" s="173">
        <v>10</v>
      </c>
      <c r="AJ69" s="205"/>
      <c r="AK69" s="248"/>
      <c r="AL69" s="205"/>
    </row>
    <row r="70" spans="1:38" ht="11.4" customHeight="1">
      <c r="A70" s="173">
        <v>11</v>
      </c>
      <c r="B70" s="183">
        <v>46526</v>
      </c>
      <c r="C70" s="177">
        <v>1975.68</v>
      </c>
      <c r="D70" s="177">
        <f t="shared" si="9"/>
        <v>48501.68</v>
      </c>
      <c r="E70" s="177">
        <v>41920.5</v>
      </c>
      <c r="F70" s="177">
        <v>36458.76</v>
      </c>
      <c r="G70" s="178">
        <f t="shared" si="8"/>
        <v>5461.74</v>
      </c>
      <c r="H70" s="227">
        <v>53083.69</v>
      </c>
      <c r="I70" s="177">
        <v>46167.519999999997</v>
      </c>
      <c r="J70" s="180">
        <f t="shared" si="7"/>
        <v>6916.17</v>
      </c>
      <c r="K70" s="225"/>
      <c r="L70" s="225"/>
      <c r="M70" s="226"/>
      <c r="N70" s="207">
        <v>45834</v>
      </c>
      <c r="O70" s="175">
        <v>6033.59</v>
      </c>
      <c r="P70" s="176">
        <f t="shared" si="13"/>
        <v>51867.59</v>
      </c>
      <c r="Q70" s="208"/>
      <c r="R70" s="209"/>
      <c r="S70" s="210"/>
      <c r="T70" s="215">
        <v>102223</v>
      </c>
      <c r="U70" s="216">
        <v>21878.27</v>
      </c>
      <c r="V70" s="215">
        <f t="shared" si="16"/>
        <v>124101.27</v>
      </c>
      <c r="W70" s="215"/>
      <c r="X70" s="215"/>
      <c r="Y70" s="215"/>
      <c r="Z70" s="215"/>
      <c r="AA70" s="215"/>
      <c r="AB70" s="215"/>
      <c r="AC70" s="215">
        <f t="shared" si="34"/>
        <v>38164.879999999997</v>
      </c>
      <c r="AD70" s="215">
        <v>27157.82</v>
      </c>
      <c r="AE70" s="215">
        <v>11007.06</v>
      </c>
      <c r="AF70" s="215">
        <v>416667</v>
      </c>
      <c r="AG70" s="215">
        <v>4280.82</v>
      </c>
      <c r="AH70" s="215">
        <f>AF70+AG70</f>
        <v>420947.82</v>
      </c>
      <c r="AI70" s="173">
        <v>11</v>
      </c>
      <c r="AJ70" s="205"/>
      <c r="AK70" s="248"/>
      <c r="AL70" s="205"/>
    </row>
    <row r="71" spans="1:38" ht="11.4" customHeight="1">
      <c r="A71" s="173">
        <v>12</v>
      </c>
      <c r="B71" s="183">
        <v>46526</v>
      </c>
      <c r="C71" s="177">
        <v>1720.74</v>
      </c>
      <c r="D71" s="177">
        <f t="shared" si="9"/>
        <v>48246.74</v>
      </c>
      <c r="E71" s="177">
        <v>41920.5</v>
      </c>
      <c r="F71" s="177">
        <v>36671.440000000002</v>
      </c>
      <c r="G71" s="178">
        <f t="shared" si="8"/>
        <v>5249.06</v>
      </c>
      <c r="H71" s="227">
        <v>53083.69</v>
      </c>
      <c r="I71" s="177">
        <v>46436.83</v>
      </c>
      <c r="J71" s="180">
        <f t="shared" si="7"/>
        <v>6646.86</v>
      </c>
      <c r="K71" s="225"/>
      <c r="L71" s="225"/>
      <c r="M71" s="226"/>
      <c r="N71" s="207">
        <v>45834</v>
      </c>
      <c r="O71" s="175">
        <v>5650.6</v>
      </c>
      <c r="P71" s="176">
        <f t="shared" si="13"/>
        <v>51484.6</v>
      </c>
      <c r="Q71" s="208"/>
      <c r="R71" s="209"/>
      <c r="S71" s="210"/>
      <c r="T71" s="215">
        <v>102223</v>
      </c>
      <c r="U71" s="216">
        <v>20584.39</v>
      </c>
      <c r="V71" s="215">
        <f t="shared" si="16"/>
        <v>122807.39</v>
      </c>
      <c r="W71" s="215"/>
      <c r="X71" s="215"/>
      <c r="Y71" s="215"/>
      <c r="Z71" s="215"/>
      <c r="AA71" s="215"/>
      <c r="AB71" s="215"/>
      <c r="AC71" s="215">
        <f t="shared" si="34"/>
        <v>38164.879999999997</v>
      </c>
      <c r="AD71" s="215">
        <v>27384.13</v>
      </c>
      <c r="AE71" s="215">
        <v>10780.75</v>
      </c>
      <c r="AF71" s="215">
        <f>416667*2</f>
        <v>833334</v>
      </c>
      <c r="AG71" s="215">
        <v>3538.81</v>
      </c>
      <c r="AH71" s="215">
        <f>AF71+AG71</f>
        <v>836872.81</v>
      </c>
      <c r="AI71" s="173">
        <v>12</v>
      </c>
      <c r="AJ71" s="205"/>
      <c r="AK71" s="248"/>
      <c r="AL71" s="205"/>
    </row>
    <row r="72" spans="1:38" ht="11.4" customHeight="1">
      <c r="A72" s="173"/>
      <c r="B72" s="200">
        <f>SUM(B69:B71)</f>
        <v>139578</v>
      </c>
      <c r="C72" s="200">
        <f t="shared" ref="C72:AH72" si="43">SUM(C69:C71)</f>
        <v>5799.57</v>
      </c>
      <c r="D72" s="200">
        <f t="shared" si="43"/>
        <v>145377.57</v>
      </c>
      <c r="E72" s="200">
        <f t="shared" si="43"/>
        <v>125761.5</v>
      </c>
      <c r="F72" s="200">
        <f t="shared" si="43"/>
        <v>109377.52</v>
      </c>
      <c r="G72" s="200">
        <f t="shared" si="43"/>
        <v>16383.98</v>
      </c>
      <c r="H72" s="200">
        <f t="shared" si="43"/>
        <v>159251.07</v>
      </c>
      <c r="I72" s="200">
        <f t="shared" si="43"/>
        <v>138504.12</v>
      </c>
      <c r="J72" s="200">
        <f t="shared" si="43"/>
        <v>20746.95</v>
      </c>
      <c r="K72" s="200">
        <f t="shared" si="43"/>
        <v>0</v>
      </c>
      <c r="L72" s="200">
        <f t="shared" si="43"/>
        <v>0</v>
      </c>
      <c r="M72" s="200">
        <f t="shared" si="43"/>
        <v>0</v>
      </c>
      <c r="N72" s="200">
        <f t="shared" si="43"/>
        <v>137502</v>
      </c>
      <c r="O72" s="200">
        <f t="shared" si="43"/>
        <v>17711.509999999998</v>
      </c>
      <c r="P72" s="200">
        <f t="shared" si="43"/>
        <v>155213.51</v>
      </c>
      <c r="Q72" s="200">
        <f t="shared" si="43"/>
        <v>0</v>
      </c>
      <c r="R72" s="200">
        <f t="shared" si="43"/>
        <v>0</v>
      </c>
      <c r="S72" s="200">
        <f t="shared" si="43"/>
        <v>0</v>
      </c>
      <c r="T72" s="200">
        <f t="shared" si="43"/>
        <v>306669</v>
      </c>
      <c r="U72" s="200">
        <f t="shared" si="43"/>
        <v>64223.31</v>
      </c>
      <c r="V72" s="200">
        <f t="shared" si="43"/>
        <v>370892.31</v>
      </c>
      <c r="W72" s="200">
        <f t="shared" si="43"/>
        <v>0</v>
      </c>
      <c r="X72" s="200">
        <f t="shared" si="43"/>
        <v>0</v>
      </c>
      <c r="Y72" s="200">
        <f t="shared" si="43"/>
        <v>0</v>
      </c>
      <c r="Z72" s="200">
        <f t="shared" si="43"/>
        <v>0</v>
      </c>
      <c r="AA72" s="200">
        <f t="shared" si="43"/>
        <v>0</v>
      </c>
      <c r="AB72" s="200">
        <f t="shared" si="43"/>
        <v>0</v>
      </c>
      <c r="AC72" s="200">
        <f t="shared" si="43"/>
        <v>114494.64</v>
      </c>
      <c r="AD72" s="200">
        <f t="shared" si="43"/>
        <v>81475.320000000007</v>
      </c>
      <c r="AE72" s="200">
        <f t="shared" si="43"/>
        <v>33019.32</v>
      </c>
      <c r="AF72" s="200">
        <f t="shared" si="43"/>
        <v>1666668</v>
      </c>
      <c r="AG72" s="200">
        <f t="shared" si="43"/>
        <v>13470.31</v>
      </c>
      <c r="AH72" s="200">
        <f t="shared" si="43"/>
        <v>1680138.31</v>
      </c>
      <c r="AI72" s="173"/>
      <c r="AJ72" s="205">
        <f>B72+F72+I72+K72+N72+Q72+T72+W72+Z72+AD72+AF72</f>
        <v>2579773.96</v>
      </c>
      <c r="AK72" s="206">
        <f>C72+G72+J72+L72+O72+R72+U72+X72+AA72+AE72+AG72</f>
        <v>171354.95</v>
      </c>
      <c r="AL72" s="205">
        <f>D72+E72+H72+M72+P72+S72+V72+Y72+AB72+AC72+AH72</f>
        <v>2751128.91</v>
      </c>
    </row>
    <row r="73" spans="1:38" ht="11.4" customHeight="1">
      <c r="A73" s="220" t="s">
        <v>477</v>
      </c>
      <c r="B73" s="196">
        <f>B60+B64+B68+B72</f>
        <v>558312</v>
      </c>
      <c r="C73" s="196">
        <f t="shared" ref="C73:AH73" si="44">C60+C64+C68+C72</f>
        <v>33714.43</v>
      </c>
      <c r="D73" s="196">
        <f t="shared" si="44"/>
        <v>592026.43000000005</v>
      </c>
      <c r="E73" s="196">
        <f t="shared" si="44"/>
        <v>503046</v>
      </c>
      <c r="F73" s="196">
        <f t="shared" si="44"/>
        <v>426288.48</v>
      </c>
      <c r="G73" s="196">
        <f t="shared" si="44"/>
        <v>76757.52</v>
      </c>
      <c r="H73" s="196">
        <f t="shared" si="44"/>
        <v>637004.28</v>
      </c>
      <c r="I73" s="196">
        <f t="shared" si="44"/>
        <v>539806.6</v>
      </c>
      <c r="J73" s="196">
        <f t="shared" si="44"/>
        <v>97197.68</v>
      </c>
      <c r="K73" s="196">
        <f t="shared" si="44"/>
        <v>0</v>
      </c>
      <c r="L73" s="196">
        <f t="shared" si="44"/>
        <v>0</v>
      </c>
      <c r="M73" s="196">
        <f t="shared" si="44"/>
        <v>0</v>
      </c>
      <c r="N73" s="196">
        <f t="shared" si="44"/>
        <v>550008</v>
      </c>
      <c r="O73" s="196">
        <f t="shared" si="44"/>
        <v>81337.66</v>
      </c>
      <c r="P73" s="196">
        <f t="shared" si="44"/>
        <v>631345.66</v>
      </c>
      <c r="Q73" s="196">
        <f t="shared" si="44"/>
        <v>0</v>
      </c>
      <c r="R73" s="196">
        <f t="shared" si="44"/>
        <v>0</v>
      </c>
      <c r="S73" s="196">
        <f t="shared" si="44"/>
        <v>0</v>
      </c>
      <c r="T73" s="196">
        <f t="shared" si="44"/>
        <v>1226676</v>
      </c>
      <c r="U73" s="196">
        <f t="shared" si="44"/>
        <v>289750.25</v>
      </c>
      <c r="V73" s="196">
        <f t="shared" si="44"/>
        <v>1516426.25</v>
      </c>
      <c r="W73" s="196">
        <f t="shared" si="44"/>
        <v>2500000</v>
      </c>
      <c r="X73" s="196">
        <f t="shared" si="44"/>
        <v>20547.95</v>
      </c>
      <c r="Y73" s="196">
        <f t="shared" si="44"/>
        <v>2520547.9500000002</v>
      </c>
      <c r="Z73" s="196">
        <f t="shared" si="44"/>
        <v>2000000</v>
      </c>
      <c r="AA73" s="196">
        <f t="shared" si="44"/>
        <v>88109.58</v>
      </c>
      <c r="AB73" s="196">
        <f t="shared" si="44"/>
        <v>2088109.58</v>
      </c>
      <c r="AC73" s="196">
        <f t="shared" si="44"/>
        <v>457978.56</v>
      </c>
      <c r="AD73" s="196">
        <f t="shared" si="44"/>
        <v>314076.71000000002</v>
      </c>
      <c r="AE73" s="196">
        <f t="shared" si="44"/>
        <v>143901.85</v>
      </c>
      <c r="AF73" s="196">
        <f t="shared" si="44"/>
        <v>1666668</v>
      </c>
      <c r="AG73" s="196">
        <f t="shared" si="44"/>
        <v>44634.7</v>
      </c>
      <c r="AH73" s="196">
        <f t="shared" si="44"/>
        <v>1711302.7</v>
      </c>
      <c r="AI73" s="220" t="s">
        <v>477</v>
      </c>
      <c r="AJ73" s="205">
        <f>B73+F73+I73+K73+N73+Q73+T73+W73+Z73+AD73+AF73</f>
        <v>9781835.7899999991</v>
      </c>
      <c r="AK73" s="205">
        <f>C73+G73+J73+L73+O73+R73+U73+X73+AA73+AE73+AG73</f>
        <v>875951.62</v>
      </c>
      <c r="AL73" s="205">
        <f>D73+E73+H73+M73+P73+S73+V73+Y73+AB73+AC73+AH73</f>
        <v>10657787.41</v>
      </c>
    </row>
    <row r="74" spans="1:38" ht="11.4" customHeight="1">
      <c r="A74" s="173" t="s">
        <v>478</v>
      </c>
      <c r="B74" s="183">
        <v>46526</v>
      </c>
      <c r="C74" s="177">
        <v>1580.52</v>
      </c>
      <c r="D74" s="177">
        <f t="shared" si="9"/>
        <v>48106.52</v>
      </c>
      <c r="E74" s="177">
        <v>41920.5</v>
      </c>
      <c r="F74" s="177">
        <v>36885.35</v>
      </c>
      <c r="G74" s="178">
        <f t="shared" si="8"/>
        <v>5035.1499999999996</v>
      </c>
      <c r="H74" s="177">
        <v>53083.69</v>
      </c>
      <c r="I74" s="177">
        <v>46707.71</v>
      </c>
      <c r="J74" s="180">
        <f t="shared" si="7"/>
        <v>6375.98</v>
      </c>
      <c r="K74" s="225"/>
      <c r="L74" s="225"/>
      <c r="M74" s="226"/>
      <c r="N74" s="207">
        <v>45834</v>
      </c>
      <c r="O74" s="175">
        <v>5644.32</v>
      </c>
      <c r="P74" s="176">
        <f t="shared" si="13"/>
        <v>51478.32</v>
      </c>
      <c r="Q74" s="208"/>
      <c r="R74" s="209"/>
      <c r="S74" s="210"/>
      <c r="T74" s="215">
        <v>102223</v>
      </c>
      <c r="U74" s="216">
        <v>20662.8</v>
      </c>
      <c r="V74" s="215">
        <f t="shared" si="16"/>
        <v>122885.8</v>
      </c>
      <c r="W74" s="215"/>
      <c r="X74" s="215"/>
      <c r="Y74" s="215"/>
      <c r="Z74" s="215"/>
      <c r="AA74" s="215"/>
      <c r="AB74" s="215"/>
      <c r="AC74" s="215">
        <f>AD74+AE74</f>
        <v>38164.879999999997</v>
      </c>
      <c r="AD74" s="215">
        <v>27612.33</v>
      </c>
      <c r="AE74" s="215">
        <v>10552.55</v>
      </c>
      <c r="AF74" s="215">
        <v>416667</v>
      </c>
      <c r="AG74" s="215">
        <v>2654.11</v>
      </c>
      <c r="AH74" s="215">
        <f>AF74+AG74</f>
        <v>419321.11</v>
      </c>
      <c r="AI74" s="173" t="s">
        <v>478</v>
      </c>
      <c r="AJ74" s="205">
        <f>AJ60+AJ64+AJ68+AJ72</f>
        <v>9781835.7899999991</v>
      </c>
      <c r="AK74" s="205">
        <f t="shared" ref="AK74:AL74" si="45">AK60+AK64+AK68+AK72</f>
        <v>875951.62</v>
      </c>
      <c r="AL74" s="205">
        <f t="shared" si="45"/>
        <v>10657787.41</v>
      </c>
    </row>
    <row r="75" spans="1:38" ht="11.4" customHeight="1">
      <c r="A75" s="173">
        <v>2</v>
      </c>
      <c r="B75" s="183">
        <v>46526</v>
      </c>
      <c r="C75" s="177">
        <v>1382.95</v>
      </c>
      <c r="D75" s="177">
        <f t="shared" si="9"/>
        <v>47908.95</v>
      </c>
      <c r="E75" s="177">
        <v>41920.5</v>
      </c>
      <c r="F75" s="177">
        <v>37100.519999999997</v>
      </c>
      <c r="G75" s="178">
        <f t="shared" si="8"/>
        <v>4819.9799999999996</v>
      </c>
      <c r="H75" s="177">
        <v>53083.69</v>
      </c>
      <c r="I75" s="177">
        <v>46980.17</v>
      </c>
      <c r="J75" s="180">
        <f t="shared" si="7"/>
        <v>6103.52</v>
      </c>
      <c r="K75" s="225"/>
      <c r="L75" s="225"/>
      <c r="M75" s="226"/>
      <c r="N75" s="207">
        <v>45834</v>
      </c>
      <c r="O75" s="175">
        <v>5449.68</v>
      </c>
      <c r="P75" s="176">
        <f t="shared" si="13"/>
        <v>51283.68</v>
      </c>
      <c r="Q75" s="208"/>
      <c r="R75" s="209"/>
      <c r="S75" s="210"/>
      <c r="T75" s="215">
        <v>102223</v>
      </c>
      <c r="U75" s="216">
        <v>20055.060000000001</v>
      </c>
      <c r="V75" s="215">
        <f t="shared" si="16"/>
        <v>122278.06</v>
      </c>
      <c r="W75" s="215"/>
      <c r="X75" s="215"/>
      <c r="Y75" s="215"/>
      <c r="Z75" s="215"/>
      <c r="AA75" s="215"/>
      <c r="AB75" s="215"/>
      <c r="AC75" s="215">
        <f t="shared" ref="AC75:AC127" si="46">AD75+AE75</f>
        <v>38164.879999999997</v>
      </c>
      <c r="AD75" s="215">
        <v>27842.43</v>
      </c>
      <c r="AE75" s="215">
        <v>10322.450000000001</v>
      </c>
      <c r="AF75" s="215">
        <v>416665</v>
      </c>
      <c r="AG75" s="215">
        <v>1598.17</v>
      </c>
      <c r="AH75" s="215">
        <f t="shared" ref="AH75:AH76" si="47">AF75+AG75</f>
        <v>418263.17</v>
      </c>
      <c r="AI75" s="173">
        <v>2</v>
      </c>
      <c r="AJ75" s="205"/>
      <c r="AK75" s="205"/>
      <c r="AL75" s="205"/>
    </row>
    <row r="76" spans="1:38" ht="11.4" customHeight="1">
      <c r="A76" s="173">
        <v>3</v>
      </c>
      <c r="B76" s="183">
        <v>46526</v>
      </c>
      <c r="C76" s="177">
        <v>1070.6600000000001</v>
      </c>
      <c r="D76" s="177">
        <f t="shared" si="9"/>
        <v>47596.66</v>
      </c>
      <c r="E76" s="177">
        <v>41920.5</v>
      </c>
      <c r="F76" s="177">
        <v>37316.94</v>
      </c>
      <c r="G76" s="178">
        <f t="shared" si="8"/>
        <v>4603.5600000000004</v>
      </c>
      <c r="H76" s="177">
        <v>53083.69</v>
      </c>
      <c r="I76" s="177">
        <v>47254.22</v>
      </c>
      <c r="J76" s="180">
        <f t="shared" si="7"/>
        <v>5829.47</v>
      </c>
      <c r="K76" s="225"/>
      <c r="L76" s="225"/>
      <c r="M76" s="226"/>
      <c r="N76" s="207">
        <v>45834</v>
      </c>
      <c r="O76" s="175">
        <v>4746.49</v>
      </c>
      <c r="P76" s="176">
        <f t="shared" si="13"/>
        <v>50580.49</v>
      </c>
      <c r="Q76" s="208"/>
      <c r="R76" s="209"/>
      <c r="S76" s="210"/>
      <c r="T76" s="215">
        <v>102223</v>
      </c>
      <c r="U76" s="216">
        <v>17565.330000000002</v>
      </c>
      <c r="V76" s="215">
        <f t="shared" si="16"/>
        <v>119788.33</v>
      </c>
      <c r="W76" s="215"/>
      <c r="X76" s="215"/>
      <c r="Y76" s="215"/>
      <c r="Z76" s="215"/>
      <c r="AA76" s="215"/>
      <c r="AB76" s="215"/>
      <c r="AC76" s="215">
        <f t="shared" si="46"/>
        <v>38164.879999999997</v>
      </c>
      <c r="AD76" s="215">
        <v>28074.45</v>
      </c>
      <c r="AE76" s="215">
        <v>10090.43</v>
      </c>
      <c r="AF76" s="215"/>
      <c r="AG76" s="215"/>
      <c r="AH76" s="215">
        <f t="shared" si="47"/>
        <v>0</v>
      </c>
      <c r="AI76" s="173">
        <v>3</v>
      </c>
      <c r="AJ76" s="205"/>
      <c r="AK76" s="205"/>
      <c r="AL76" s="205"/>
    </row>
    <row r="77" spans="1:38" ht="11.4" customHeight="1">
      <c r="A77" s="173"/>
      <c r="B77" s="200">
        <f>SUM(B74:B76)</f>
        <v>139578</v>
      </c>
      <c r="C77" s="200">
        <f t="shared" ref="C77:AH77" si="48">SUM(C74:C76)</f>
        <v>4034.13</v>
      </c>
      <c r="D77" s="200">
        <f t="shared" si="48"/>
        <v>143612.13</v>
      </c>
      <c r="E77" s="200">
        <f t="shared" si="48"/>
        <v>125761.5</v>
      </c>
      <c r="F77" s="200">
        <f t="shared" si="48"/>
        <v>111302.81</v>
      </c>
      <c r="G77" s="200">
        <f t="shared" si="48"/>
        <v>14458.69</v>
      </c>
      <c r="H77" s="200">
        <f t="shared" si="48"/>
        <v>159251.07</v>
      </c>
      <c r="I77" s="200">
        <f t="shared" si="48"/>
        <v>140942.1</v>
      </c>
      <c r="J77" s="200">
        <f t="shared" si="48"/>
        <v>18308.97</v>
      </c>
      <c r="K77" s="200">
        <f t="shared" si="48"/>
        <v>0</v>
      </c>
      <c r="L77" s="200">
        <f t="shared" si="48"/>
        <v>0</v>
      </c>
      <c r="M77" s="200">
        <f t="shared" si="48"/>
        <v>0</v>
      </c>
      <c r="N77" s="200">
        <f t="shared" si="48"/>
        <v>137502</v>
      </c>
      <c r="O77" s="200">
        <f t="shared" si="48"/>
        <v>15840.49</v>
      </c>
      <c r="P77" s="200">
        <f t="shared" si="48"/>
        <v>153342.49</v>
      </c>
      <c r="Q77" s="200">
        <f t="shared" si="48"/>
        <v>0</v>
      </c>
      <c r="R77" s="200">
        <f t="shared" si="48"/>
        <v>0</v>
      </c>
      <c r="S77" s="200">
        <f t="shared" si="48"/>
        <v>0</v>
      </c>
      <c r="T77" s="200">
        <f t="shared" si="48"/>
        <v>306669</v>
      </c>
      <c r="U77" s="200">
        <f t="shared" si="48"/>
        <v>58283.19</v>
      </c>
      <c r="V77" s="200">
        <f t="shared" si="48"/>
        <v>364952.19</v>
      </c>
      <c r="W77" s="200">
        <f t="shared" si="48"/>
        <v>0</v>
      </c>
      <c r="X77" s="200">
        <f t="shared" si="48"/>
        <v>0</v>
      </c>
      <c r="Y77" s="200">
        <f t="shared" si="48"/>
        <v>0</v>
      </c>
      <c r="Z77" s="200">
        <f t="shared" si="48"/>
        <v>0</v>
      </c>
      <c r="AA77" s="200">
        <f t="shared" si="48"/>
        <v>0</v>
      </c>
      <c r="AB77" s="200">
        <f t="shared" si="48"/>
        <v>0</v>
      </c>
      <c r="AC77" s="200">
        <f t="shared" si="48"/>
        <v>114494.64</v>
      </c>
      <c r="AD77" s="200">
        <f t="shared" si="48"/>
        <v>83529.210000000006</v>
      </c>
      <c r="AE77" s="200">
        <f t="shared" si="48"/>
        <v>30965.43</v>
      </c>
      <c r="AF77" s="200">
        <f t="shared" si="48"/>
        <v>833332</v>
      </c>
      <c r="AG77" s="200">
        <f t="shared" si="48"/>
        <v>4252.28</v>
      </c>
      <c r="AH77" s="200">
        <f t="shared" si="48"/>
        <v>837584.28</v>
      </c>
      <c r="AI77" s="173"/>
      <c r="AJ77" s="205">
        <f>B77+F77+I77+K77+N77+Q77+T77+W77+Z77+AD77+AF77</f>
        <v>1752855.12</v>
      </c>
      <c r="AK77" s="206">
        <f>C77+G77+J77+L77+O77+R77+U77+X77+AA77+AE77+AG77</f>
        <v>146143.18</v>
      </c>
      <c r="AL77" s="205">
        <f>D77+E77+H77+M77+P77+S77+V77+Y77+AB77+AC77+AH77</f>
        <v>1898998.3</v>
      </c>
    </row>
    <row r="78" spans="1:38" ht="11.4" customHeight="1">
      <c r="A78" s="173">
        <v>4</v>
      </c>
      <c r="B78" s="183">
        <v>46526</v>
      </c>
      <c r="C78" s="177">
        <v>987.8</v>
      </c>
      <c r="D78" s="177">
        <f t="shared" si="9"/>
        <v>47513.8</v>
      </c>
      <c r="E78" s="177">
        <v>41920.5</v>
      </c>
      <c r="F78" s="177">
        <v>37534.620000000003</v>
      </c>
      <c r="G78" s="178">
        <f t="shared" si="8"/>
        <v>4385.88</v>
      </c>
      <c r="H78" s="177">
        <v>53083.69</v>
      </c>
      <c r="I78" s="177">
        <v>47529.87</v>
      </c>
      <c r="J78" s="180">
        <f t="shared" si="7"/>
        <v>5553.82</v>
      </c>
      <c r="K78" s="225"/>
      <c r="L78" s="225"/>
      <c r="M78" s="226"/>
      <c r="N78" s="207">
        <v>45834</v>
      </c>
      <c r="O78" s="175">
        <v>5060.41</v>
      </c>
      <c r="P78" s="176">
        <f t="shared" si="13"/>
        <v>50894.41</v>
      </c>
      <c r="Q78" s="208"/>
      <c r="R78" s="209"/>
      <c r="S78" s="210"/>
      <c r="T78" s="215">
        <v>102223</v>
      </c>
      <c r="U78" s="216">
        <v>18839.59</v>
      </c>
      <c r="V78" s="215">
        <f t="shared" si="16"/>
        <v>121062.59</v>
      </c>
      <c r="W78" s="215"/>
      <c r="X78" s="215"/>
      <c r="Y78" s="215"/>
      <c r="Z78" s="215"/>
      <c r="AA78" s="215"/>
      <c r="AB78" s="215"/>
      <c r="AC78" s="215">
        <f t="shared" si="46"/>
        <v>38164.879999999997</v>
      </c>
      <c r="AD78" s="215">
        <v>28308.41</v>
      </c>
      <c r="AE78" s="215">
        <v>9856.4699999999993</v>
      </c>
      <c r="AF78" s="215"/>
      <c r="AG78" s="215"/>
      <c r="AH78" s="215"/>
      <c r="AI78" s="173">
        <v>4</v>
      </c>
      <c r="AJ78" s="205"/>
      <c r="AK78" s="206"/>
      <c r="AL78" s="205"/>
    </row>
    <row r="79" spans="1:38" ht="11.4" customHeight="1">
      <c r="A79" s="173">
        <v>5</v>
      </c>
      <c r="B79" s="183">
        <v>46526</v>
      </c>
      <c r="C79" s="177">
        <v>764.73</v>
      </c>
      <c r="D79" s="177">
        <f t="shared" si="9"/>
        <v>47290.73</v>
      </c>
      <c r="E79" s="177">
        <v>41920.5</v>
      </c>
      <c r="F79" s="177">
        <v>37753.57</v>
      </c>
      <c r="G79" s="178">
        <f t="shared" si="8"/>
        <v>4166.93</v>
      </c>
      <c r="H79" s="177">
        <v>53083.69</v>
      </c>
      <c r="I79" s="177">
        <v>47807.13</v>
      </c>
      <c r="J79" s="180">
        <f t="shared" si="7"/>
        <v>5276.56</v>
      </c>
      <c r="K79" s="225"/>
      <c r="L79" s="225"/>
      <c r="M79" s="226"/>
      <c r="N79" s="207">
        <v>45834</v>
      </c>
      <c r="O79" s="175">
        <v>4708.8100000000004</v>
      </c>
      <c r="P79" s="176">
        <f t="shared" si="13"/>
        <v>50542.81</v>
      </c>
      <c r="Q79" s="208"/>
      <c r="R79" s="209"/>
      <c r="S79" s="210"/>
      <c r="T79" s="215">
        <v>102223</v>
      </c>
      <c r="U79" s="216">
        <v>17643.73</v>
      </c>
      <c r="V79" s="215">
        <f t="shared" si="16"/>
        <v>119866.73</v>
      </c>
      <c r="W79" s="215"/>
      <c r="X79" s="215"/>
      <c r="Y79" s="215"/>
      <c r="Z79" s="215"/>
      <c r="AA79" s="215"/>
      <c r="AB79" s="215"/>
      <c r="AC79" s="215">
        <f t="shared" si="46"/>
        <v>38164.879999999997</v>
      </c>
      <c r="AD79" s="215">
        <v>28544.31</v>
      </c>
      <c r="AE79" s="215">
        <v>9620.57</v>
      </c>
      <c r="AF79" s="215"/>
      <c r="AG79" s="215"/>
      <c r="AH79" s="215"/>
      <c r="AI79" s="173">
        <v>5</v>
      </c>
      <c r="AJ79" s="205"/>
      <c r="AK79" s="206"/>
      <c r="AL79" s="205"/>
    </row>
    <row r="80" spans="1:38" ht="11.4" customHeight="1">
      <c r="A80" s="173">
        <v>6</v>
      </c>
      <c r="B80" s="183">
        <v>46526</v>
      </c>
      <c r="C80" s="177">
        <v>592.64</v>
      </c>
      <c r="D80" s="177">
        <f t="shared" si="9"/>
        <v>47118.64</v>
      </c>
      <c r="E80" s="177">
        <v>41920.5</v>
      </c>
      <c r="F80" s="177">
        <v>37973.800000000003</v>
      </c>
      <c r="G80" s="178">
        <f t="shared" si="8"/>
        <v>3946.7</v>
      </c>
      <c r="H80" s="177">
        <v>53083.69</v>
      </c>
      <c r="I80" s="177">
        <v>48086</v>
      </c>
      <c r="J80" s="180">
        <f t="shared" si="7"/>
        <v>4997.6899999999996</v>
      </c>
      <c r="K80" s="225"/>
      <c r="L80" s="225"/>
      <c r="M80" s="226"/>
      <c r="N80" s="207">
        <v>45834</v>
      </c>
      <c r="O80" s="175">
        <v>4671.13</v>
      </c>
      <c r="P80" s="176">
        <f t="shared" si="13"/>
        <v>50505.13</v>
      </c>
      <c r="Q80" s="208"/>
      <c r="R80" s="209"/>
      <c r="S80" s="210"/>
      <c r="T80" s="215">
        <v>102223</v>
      </c>
      <c r="U80" s="216">
        <v>17624.12</v>
      </c>
      <c r="V80" s="215">
        <f t="shared" si="16"/>
        <v>119847.12</v>
      </c>
      <c r="W80" s="215"/>
      <c r="X80" s="215"/>
      <c r="Y80" s="215"/>
      <c r="Z80" s="215"/>
      <c r="AA80" s="215"/>
      <c r="AB80" s="215"/>
      <c r="AC80" s="215">
        <f t="shared" si="46"/>
        <v>38164.879999999997</v>
      </c>
      <c r="AD80" s="215">
        <v>28782.18</v>
      </c>
      <c r="AE80" s="215">
        <v>9382.7000000000007</v>
      </c>
      <c r="AF80" s="215"/>
      <c r="AG80" s="215"/>
      <c r="AH80" s="215"/>
      <c r="AI80" s="173">
        <v>6</v>
      </c>
      <c r="AJ80" s="205"/>
      <c r="AK80" s="206"/>
      <c r="AL80" s="205"/>
    </row>
    <row r="81" spans="1:38" ht="11.4" customHeight="1">
      <c r="A81" s="173"/>
      <c r="B81" s="200">
        <f>SUM(B78:B80)</f>
        <v>139578</v>
      </c>
      <c r="C81" s="200">
        <f t="shared" ref="C81:AH81" si="49">SUM(C78:C80)</f>
        <v>2345.17</v>
      </c>
      <c r="D81" s="200">
        <f t="shared" si="49"/>
        <v>141923.17000000001</v>
      </c>
      <c r="E81" s="200">
        <f t="shared" si="49"/>
        <v>125761.5</v>
      </c>
      <c r="F81" s="200">
        <f t="shared" si="49"/>
        <v>113261.99</v>
      </c>
      <c r="G81" s="200">
        <f t="shared" si="49"/>
        <v>12499.51</v>
      </c>
      <c r="H81" s="200">
        <f t="shared" si="49"/>
        <v>159251.07</v>
      </c>
      <c r="I81" s="200">
        <f t="shared" si="49"/>
        <v>143423</v>
      </c>
      <c r="J81" s="200">
        <f t="shared" si="49"/>
        <v>15828.07</v>
      </c>
      <c r="K81" s="200">
        <f t="shared" si="49"/>
        <v>0</v>
      </c>
      <c r="L81" s="200">
        <f t="shared" si="49"/>
        <v>0</v>
      </c>
      <c r="M81" s="200">
        <f t="shared" si="49"/>
        <v>0</v>
      </c>
      <c r="N81" s="200">
        <f t="shared" si="49"/>
        <v>137502</v>
      </c>
      <c r="O81" s="200">
        <f t="shared" si="49"/>
        <v>14440.35</v>
      </c>
      <c r="P81" s="200">
        <f t="shared" si="49"/>
        <v>151942.35</v>
      </c>
      <c r="Q81" s="200">
        <f t="shared" si="49"/>
        <v>0</v>
      </c>
      <c r="R81" s="200">
        <f t="shared" si="49"/>
        <v>0</v>
      </c>
      <c r="S81" s="200">
        <f t="shared" si="49"/>
        <v>0</v>
      </c>
      <c r="T81" s="200">
        <f t="shared" si="49"/>
        <v>306669</v>
      </c>
      <c r="U81" s="200">
        <f t="shared" si="49"/>
        <v>54107.44</v>
      </c>
      <c r="V81" s="200">
        <f t="shared" si="49"/>
        <v>360776.44</v>
      </c>
      <c r="W81" s="200">
        <f t="shared" si="49"/>
        <v>0</v>
      </c>
      <c r="X81" s="200">
        <f t="shared" si="49"/>
        <v>0</v>
      </c>
      <c r="Y81" s="200">
        <f t="shared" si="49"/>
        <v>0</v>
      </c>
      <c r="Z81" s="200">
        <f t="shared" si="49"/>
        <v>0</v>
      </c>
      <c r="AA81" s="200">
        <f t="shared" si="49"/>
        <v>0</v>
      </c>
      <c r="AB81" s="200">
        <f t="shared" si="49"/>
        <v>0</v>
      </c>
      <c r="AC81" s="200">
        <f t="shared" si="49"/>
        <v>114494.64</v>
      </c>
      <c r="AD81" s="200">
        <f t="shared" si="49"/>
        <v>85634.9</v>
      </c>
      <c r="AE81" s="200">
        <f t="shared" si="49"/>
        <v>28859.74</v>
      </c>
      <c r="AF81" s="200">
        <f t="shared" si="49"/>
        <v>0</v>
      </c>
      <c r="AG81" s="200">
        <f t="shared" si="49"/>
        <v>0</v>
      </c>
      <c r="AH81" s="200">
        <f t="shared" si="49"/>
        <v>0</v>
      </c>
      <c r="AI81" s="173"/>
      <c r="AJ81" s="205">
        <f t="shared" ref="AJ81:AK123" si="50">B81+F81+I81+K81+N81+Q81+T81+W81+Z81+AD81</f>
        <v>926068.89</v>
      </c>
      <c r="AK81" s="206">
        <f t="shared" si="50"/>
        <v>128080.28</v>
      </c>
      <c r="AL81" s="205">
        <f t="shared" ref="AL81:AL124" si="51">D81+E81+H81+M81+P81+S81+V81+Y81+AB81+AC81</f>
        <v>1054149.17</v>
      </c>
    </row>
    <row r="82" spans="1:38" ht="11.4" customHeight="1">
      <c r="A82" s="173">
        <v>7</v>
      </c>
      <c r="B82" s="183">
        <v>46526</v>
      </c>
      <c r="C82" s="177">
        <v>382.32</v>
      </c>
      <c r="D82" s="177">
        <f t="shared" si="9"/>
        <v>46908.32</v>
      </c>
      <c r="E82" s="177">
        <v>41920.5</v>
      </c>
      <c r="F82" s="177">
        <v>38195.32</v>
      </c>
      <c r="G82" s="178">
        <f t="shared" si="8"/>
        <v>3725.18</v>
      </c>
      <c r="H82" s="177">
        <v>53083.69</v>
      </c>
      <c r="I82" s="177">
        <v>48366.5</v>
      </c>
      <c r="J82" s="180">
        <f t="shared" si="7"/>
        <v>4717.1899999999996</v>
      </c>
      <c r="K82" s="225"/>
      <c r="L82" s="225"/>
      <c r="M82" s="226"/>
      <c r="N82" s="207">
        <v>45834</v>
      </c>
      <c r="O82" s="175">
        <v>4332.09</v>
      </c>
      <c r="P82" s="176">
        <f t="shared" si="13"/>
        <v>50166.09</v>
      </c>
      <c r="Q82" s="208"/>
      <c r="R82" s="209"/>
      <c r="S82" s="210"/>
      <c r="T82" s="215">
        <v>102223</v>
      </c>
      <c r="U82" s="216">
        <v>16467.46</v>
      </c>
      <c r="V82" s="215">
        <f t="shared" si="16"/>
        <v>118690.46</v>
      </c>
      <c r="W82" s="215"/>
      <c r="X82" s="215"/>
      <c r="Y82" s="215"/>
      <c r="Z82" s="215"/>
      <c r="AA82" s="215"/>
      <c r="AB82" s="215"/>
      <c r="AC82" s="215">
        <f t="shared" si="46"/>
        <v>38164.879999999997</v>
      </c>
      <c r="AD82" s="215">
        <v>29022.03</v>
      </c>
      <c r="AE82" s="215">
        <v>9142.85</v>
      </c>
      <c r="AF82" s="215"/>
      <c r="AG82" s="215"/>
      <c r="AH82" s="215"/>
      <c r="AI82" s="173">
        <v>7</v>
      </c>
      <c r="AJ82" s="205"/>
      <c r="AK82" s="206"/>
      <c r="AL82" s="205"/>
    </row>
    <row r="83" spans="1:38" ht="11.4" customHeight="1">
      <c r="A83" s="173">
        <v>8</v>
      </c>
      <c r="B83" s="183">
        <v>46506</v>
      </c>
      <c r="C83" s="177">
        <v>229.34</v>
      </c>
      <c r="D83" s="177">
        <f t="shared" si="9"/>
        <v>46735.34</v>
      </c>
      <c r="E83" s="177">
        <v>41920.5</v>
      </c>
      <c r="F83" s="177">
        <v>38418.120000000003</v>
      </c>
      <c r="G83" s="178">
        <f t="shared" si="8"/>
        <v>3502.38</v>
      </c>
      <c r="H83" s="177">
        <v>53083.69</v>
      </c>
      <c r="I83" s="177">
        <v>48648.639999999999</v>
      </c>
      <c r="J83" s="180">
        <f t="shared" si="7"/>
        <v>4435.05</v>
      </c>
      <c r="K83" s="225"/>
      <c r="L83" s="225"/>
      <c r="M83" s="226"/>
      <c r="N83" s="207">
        <v>45834</v>
      </c>
      <c r="O83" s="175">
        <v>4281.8599999999997</v>
      </c>
      <c r="P83" s="176">
        <f t="shared" si="13"/>
        <v>50115.86</v>
      </c>
      <c r="Q83" s="208"/>
      <c r="R83" s="209"/>
      <c r="S83" s="210"/>
      <c r="T83" s="215">
        <v>102223</v>
      </c>
      <c r="U83" s="216">
        <v>16408.64</v>
      </c>
      <c r="V83" s="215">
        <f t="shared" si="16"/>
        <v>118631.64</v>
      </c>
      <c r="W83" s="215"/>
      <c r="X83" s="215"/>
      <c r="Y83" s="215"/>
      <c r="Z83" s="215"/>
      <c r="AA83" s="215"/>
      <c r="AB83" s="215"/>
      <c r="AC83" s="215">
        <f t="shared" si="46"/>
        <v>38164.879999999997</v>
      </c>
      <c r="AD83" s="215">
        <v>29263.88</v>
      </c>
      <c r="AE83" s="215">
        <v>8901</v>
      </c>
      <c r="AF83" s="215"/>
      <c r="AG83" s="215"/>
      <c r="AH83" s="215"/>
      <c r="AI83" s="173">
        <v>8</v>
      </c>
      <c r="AJ83" s="205"/>
      <c r="AK83" s="206"/>
      <c r="AL83" s="205"/>
    </row>
    <row r="84" spans="1:38" ht="11.4" customHeight="1">
      <c r="A84" s="173">
        <v>9</v>
      </c>
      <c r="B84" s="183"/>
      <c r="C84" s="225"/>
      <c r="D84" s="225"/>
      <c r="E84" s="177">
        <v>41920.5</v>
      </c>
      <c r="F84" s="177">
        <v>38642.230000000003</v>
      </c>
      <c r="G84" s="178">
        <f t="shared" si="8"/>
        <v>3278.27</v>
      </c>
      <c r="H84" s="177">
        <v>53083.69</v>
      </c>
      <c r="I84" s="177">
        <v>48932.43</v>
      </c>
      <c r="J84" s="180">
        <f t="shared" si="7"/>
        <v>4151.26</v>
      </c>
      <c r="K84" s="225"/>
      <c r="L84" s="225"/>
      <c r="M84" s="226"/>
      <c r="N84" s="207">
        <v>45834</v>
      </c>
      <c r="O84" s="175">
        <v>4087.22</v>
      </c>
      <c r="P84" s="176">
        <f t="shared" si="13"/>
        <v>49921.22</v>
      </c>
      <c r="Q84" s="208"/>
      <c r="R84" s="209"/>
      <c r="S84" s="210"/>
      <c r="T84" s="215">
        <v>102223</v>
      </c>
      <c r="U84" s="216">
        <v>15800.91</v>
      </c>
      <c r="V84" s="215">
        <f t="shared" si="16"/>
        <v>118023.91</v>
      </c>
      <c r="W84" s="215"/>
      <c r="X84" s="215"/>
      <c r="Y84" s="215"/>
      <c r="Z84" s="215"/>
      <c r="AA84" s="215"/>
      <c r="AB84" s="215"/>
      <c r="AC84" s="215">
        <f t="shared" si="46"/>
        <v>38164.879999999997</v>
      </c>
      <c r="AD84" s="215">
        <v>29507.75</v>
      </c>
      <c r="AE84" s="215">
        <v>8657.1299999999992</v>
      </c>
      <c r="AF84" s="215"/>
      <c r="AG84" s="215"/>
      <c r="AH84" s="215"/>
      <c r="AI84" s="173">
        <v>9</v>
      </c>
      <c r="AJ84" s="205"/>
      <c r="AK84" s="206"/>
      <c r="AL84" s="205"/>
    </row>
    <row r="85" spans="1:38" ht="11.4" customHeight="1">
      <c r="A85" s="173"/>
      <c r="B85" s="200">
        <f>SUM(B82:B84)</f>
        <v>93032</v>
      </c>
      <c r="C85" s="200">
        <f t="shared" ref="C85:AH85" si="52">SUM(C82:C84)</f>
        <v>611.66</v>
      </c>
      <c r="D85" s="200">
        <f t="shared" si="52"/>
        <v>93643.66</v>
      </c>
      <c r="E85" s="200">
        <f t="shared" si="52"/>
        <v>125761.5</v>
      </c>
      <c r="F85" s="200">
        <f t="shared" si="52"/>
        <v>115255.67</v>
      </c>
      <c r="G85" s="200">
        <f t="shared" si="52"/>
        <v>10505.83</v>
      </c>
      <c r="H85" s="200">
        <f t="shared" si="52"/>
        <v>159251.07</v>
      </c>
      <c r="I85" s="200">
        <f t="shared" si="52"/>
        <v>145947.57</v>
      </c>
      <c r="J85" s="200">
        <f t="shared" si="52"/>
        <v>13303.5</v>
      </c>
      <c r="K85" s="200">
        <f t="shared" si="52"/>
        <v>0</v>
      </c>
      <c r="L85" s="200">
        <f t="shared" si="52"/>
        <v>0</v>
      </c>
      <c r="M85" s="200">
        <f t="shared" si="52"/>
        <v>0</v>
      </c>
      <c r="N85" s="200">
        <f t="shared" si="52"/>
        <v>137502</v>
      </c>
      <c r="O85" s="200">
        <f t="shared" si="52"/>
        <v>12701.17</v>
      </c>
      <c r="P85" s="200">
        <f t="shared" si="52"/>
        <v>150203.17000000001</v>
      </c>
      <c r="Q85" s="200">
        <f t="shared" si="52"/>
        <v>0</v>
      </c>
      <c r="R85" s="200">
        <f t="shared" si="52"/>
        <v>0</v>
      </c>
      <c r="S85" s="200">
        <f t="shared" si="52"/>
        <v>0</v>
      </c>
      <c r="T85" s="200">
        <f t="shared" si="52"/>
        <v>306669</v>
      </c>
      <c r="U85" s="200">
        <f t="shared" si="52"/>
        <v>48677.01</v>
      </c>
      <c r="V85" s="200">
        <f t="shared" si="52"/>
        <v>355346.01</v>
      </c>
      <c r="W85" s="200">
        <f t="shared" si="52"/>
        <v>0</v>
      </c>
      <c r="X85" s="200">
        <f t="shared" si="52"/>
        <v>0</v>
      </c>
      <c r="Y85" s="200">
        <f t="shared" si="52"/>
        <v>0</v>
      </c>
      <c r="Z85" s="200">
        <f t="shared" si="52"/>
        <v>0</v>
      </c>
      <c r="AA85" s="200">
        <f t="shared" si="52"/>
        <v>0</v>
      </c>
      <c r="AB85" s="200">
        <f t="shared" si="52"/>
        <v>0</v>
      </c>
      <c r="AC85" s="200">
        <f t="shared" si="52"/>
        <v>114494.64</v>
      </c>
      <c r="AD85" s="200">
        <f t="shared" si="52"/>
        <v>87793.66</v>
      </c>
      <c r="AE85" s="200">
        <f t="shared" si="52"/>
        <v>26700.98</v>
      </c>
      <c r="AF85" s="200">
        <f t="shared" si="52"/>
        <v>0</v>
      </c>
      <c r="AG85" s="200">
        <f t="shared" si="52"/>
        <v>0</v>
      </c>
      <c r="AH85" s="200">
        <f t="shared" si="52"/>
        <v>0</v>
      </c>
      <c r="AI85" s="173"/>
      <c r="AJ85" s="205">
        <f t="shared" si="50"/>
        <v>886199.9</v>
      </c>
      <c r="AK85" s="206">
        <f t="shared" si="50"/>
        <v>112500.15</v>
      </c>
      <c r="AL85" s="205">
        <f t="shared" si="51"/>
        <v>998700.05</v>
      </c>
    </row>
    <row r="86" spans="1:38" ht="11.4" customHeight="1">
      <c r="A86" s="173">
        <v>10</v>
      </c>
      <c r="B86" s="183"/>
      <c r="C86" s="225"/>
      <c r="D86" s="225"/>
      <c r="E86" s="177">
        <v>41920.5</v>
      </c>
      <c r="F86" s="177">
        <v>38867.64</v>
      </c>
      <c r="G86" s="178">
        <f t="shared" si="8"/>
        <v>3052.86</v>
      </c>
      <c r="H86" s="177">
        <v>53083.69</v>
      </c>
      <c r="I86" s="177">
        <v>49217.86</v>
      </c>
      <c r="J86" s="180">
        <f t="shared" si="7"/>
        <v>3865.83</v>
      </c>
      <c r="K86" s="225"/>
      <c r="L86" s="225"/>
      <c r="M86" s="226"/>
      <c r="N86" s="207">
        <v>45834</v>
      </c>
      <c r="O86" s="175">
        <v>3767.01</v>
      </c>
      <c r="P86" s="176">
        <f t="shared" si="13"/>
        <v>49601.01</v>
      </c>
      <c r="Q86" s="208"/>
      <c r="R86" s="209"/>
      <c r="S86" s="210"/>
      <c r="T86" s="215">
        <v>102223</v>
      </c>
      <c r="U86" s="216">
        <v>14703.07</v>
      </c>
      <c r="V86" s="215">
        <f t="shared" si="16"/>
        <v>116926.07</v>
      </c>
      <c r="W86" s="215"/>
      <c r="X86" s="215"/>
      <c r="Y86" s="215"/>
      <c r="Z86" s="215"/>
      <c r="AA86" s="215"/>
      <c r="AB86" s="215"/>
      <c r="AC86" s="215">
        <f t="shared" si="46"/>
        <v>38164.879999999997</v>
      </c>
      <c r="AD86" s="215">
        <v>29753.65</v>
      </c>
      <c r="AE86" s="215">
        <v>8411.23</v>
      </c>
      <c r="AF86" s="215"/>
      <c r="AG86" s="215"/>
      <c r="AH86" s="215"/>
      <c r="AI86" s="173">
        <v>10</v>
      </c>
      <c r="AJ86" s="205"/>
      <c r="AK86" s="206"/>
      <c r="AL86" s="205"/>
    </row>
    <row r="87" spans="1:38" ht="11.4" customHeight="1">
      <c r="A87" s="173">
        <v>11</v>
      </c>
      <c r="B87" s="183"/>
      <c r="C87" s="225"/>
      <c r="D87" s="225"/>
      <c r="E87" s="177">
        <v>41920.5</v>
      </c>
      <c r="F87" s="177">
        <v>39094.370000000003</v>
      </c>
      <c r="G87" s="178">
        <f t="shared" si="8"/>
        <v>2826.13</v>
      </c>
      <c r="H87" s="177">
        <v>53083.69</v>
      </c>
      <c r="I87" s="177">
        <v>49504.97</v>
      </c>
      <c r="J87" s="180">
        <f t="shared" si="7"/>
        <v>3578.72</v>
      </c>
      <c r="K87" s="225"/>
      <c r="L87" s="225"/>
      <c r="M87" s="226"/>
      <c r="N87" s="207">
        <v>45834</v>
      </c>
      <c r="O87" s="175">
        <v>3697.94</v>
      </c>
      <c r="P87" s="176">
        <f t="shared" si="13"/>
        <v>49531.94</v>
      </c>
      <c r="Q87" s="208"/>
      <c r="R87" s="209"/>
      <c r="S87" s="210"/>
      <c r="T87" s="215">
        <v>102223</v>
      </c>
      <c r="U87" s="216">
        <v>14585.43</v>
      </c>
      <c r="V87" s="215">
        <f t="shared" si="16"/>
        <v>116808.43</v>
      </c>
      <c r="W87" s="215"/>
      <c r="X87" s="215"/>
      <c r="Y87" s="215"/>
      <c r="Z87" s="215"/>
      <c r="AA87" s="215"/>
      <c r="AB87" s="215"/>
      <c r="AC87" s="215">
        <f t="shared" si="46"/>
        <v>38164.879999999997</v>
      </c>
      <c r="AD87" s="215">
        <v>30001.59</v>
      </c>
      <c r="AE87" s="215">
        <v>8163.29</v>
      </c>
      <c r="AF87" s="215"/>
      <c r="AG87" s="215"/>
      <c r="AH87" s="215"/>
      <c r="AI87" s="173">
        <v>11</v>
      </c>
      <c r="AJ87" s="205"/>
      <c r="AK87" s="206"/>
      <c r="AL87" s="205"/>
    </row>
    <row r="88" spans="1:38" ht="11.4" customHeight="1">
      <c r="A88" s="173">
        <v>12</v>
      </c>
      <c r="B88" s="183"/>
      <c r="C88" s="225"/>
      <c r="D88" s="225"/>
      <c r="E88" s="177">
        <v>41920.5</v>
      </c>
      <c r="F88" s="177">
        <v>39322.42</v>
      </c>
      <c r="G88" s="178">
        <f t="shared" si="8"/>
        <v>2598.08</v>
      </c>
      <c r="H88" s="177">
        <v>53083.69</v>
      </c>
      <c r="I88" s="177">
        <v>49793.75</v>
      </c>
      <c r="J88" s="180">
        <f t="shared" si="7"/>
        <v>3289.94</v>
      </c>
      <c r="K88" s="225"/>
      <c r="L88" s="225"/>
      <c r="M88" s="226"/>
      <c r="N88" s="207">
        <v>45834</v>
      </c>
      <c r="O88" s="175">
        <v>3390.3</v>
      </c>
      <c r="P88" s="176">
        <f t="shared" si="13"/>
        <v>49224.3</v>
      </c>
      <c r="Q88" s="208"/>
      <c r="R88" s="209"/>
      <c r="S88" s="210"/>
      <c r="T88" s="215">
        <v>102223</v>
      </c>
      <c r="U88" s="216">
        <v>13526.8</v>
      </c>
      <c r="V88" s="215">
        <f t="shared" si="16"/>
        <v>115749.8</v>
      </c>
      <c r="W88" s="215"/>
      <c r="X88" s="215"/>
      <c r="Y88" s="215"/>
      <c r="Z88" s="215"/>
      <c r="AA88" s="215"/>
      <c r="AB88" s="215"/>
      <c r="AC88" s="215">
        <f t="shared" si="46"/>
        <v>38164.879999999997</v>
      </c>
      <c r="AD88" s="215">
        <v>30251.61</v>
      </c>
      <c r="AE88" s="215">
        <v>7913.27</v>
      </c>
      <c r="AF88" s="215"/>
      <c r="AG88" s="215"/>
      <c r="AH88" s="215"/>
      <c r="AI88" s="173">
        <v>12</v>
      </c>
      <c r="AJ88" s="205"/>
      <c r="AK88" s="206"/>
      <c r="AL88" s="205"/>
    </row>
    <row r="89" spans="1:38" ht="11.4" customHeight="1">
      <c r="A89" s="173"/>
      <c r="B89" s="183"/>
      <c r="C89" s="225"/>
      <c r="D89" s="225"/>
      <c r="E89" s="201">
        <f>SUM(E86:E88)</f>
        <v>125761.5</v>
      </c>
      <c r="F89" s="201">
        <f t="shared" ref="F89:AH89" si="53">SUM(F86:F88)</f>
        <v>117284.43</v>
      </c>
      <c r="G89" s="201">
        <f t="shared" si="53"/>
        <v>8477.07</v>
      </c>
      <c r="H89" s="201">
        <f t="shared" si="53"/>
        <v>159251.07</v>
      </c>
      <c r="I89" s="201">
        <f t="shared" si="53"/>
        <v>148516.57999999999</v>
      </c>
      <c r="J89" s="201">
        <f t="shared" si="53"/>
        <v>10734.49</v>
      </c>
      <c r="K89" s="201">
        <f t="shared" si="53"/>
        <v>0</v>
      </c>
      <c r="L89" s="201">
        <f t="shared" si="53"/>
        <v>0</v>
      </c>
      <c r="M89" s="201">
        <f t="shared" si="53"/>
        <v>0</v>
      </c>
      <c r="N89" s="201">
        <f t="shared" si="53"/>
        <v>137502</v>
      </c>
      <c r="O89" s="201">
        <f t="shared" si="53"/>
        <v>10855.25</v>
      </c>
      <c r="P89" s="201">
        <f t="shared" si="53"/>
        <v>148357.25</v>
      </c>
      <c r="Q89" s="201">
        <f t="shared" si="53"/>
        <v>0</v>
      </c>
      <c r="R89" s="201">
        <f t="shared" si="53"/>
        <v>0</v>
      </c>
      <c r="S89" s="201">
        <f t="shared" si="53"/>
        <v>0</v>
      </c>
      <c r="T89" s="201">
        <f t="shared" si="53"/>
        <v>306669</v>
      </c>
      <c r="U89" s="201">
        <f t="shared" si="53"/>
        <v>42815.3</v>
      </c>
      <c r="V89" s="201">
        <f t="shared" si="53"/>
        <v>349484.3</v>
      </c>
      <c r="W89" s="201">
        <f t="shared" si="53"/>
        <v>0</v>
      </c>
      <c r="X89" s="201">
        <f t="shared" si="53"/>
        <v>0</v>
      </c>
      <c r="Y89" s="201">
        <f t="shared" si="53"/>
        <v>0</v>
      </c>
      <c r="Z89" s="201">
        <f t="shared" si="53"/>
        <v>0</v>
      </c>
      <c r="AA89" s="201">
        <f t="shared" si="53"/>
        <v>0</v>
      </c>
      <c r="AB89" s="201">
        <f t="shared" si="53"/>
        <v>0</v>
      </c>
      <c r="AC89" s="201">
        <f t="shared" si="53"/>
        <v>114494.64</v>
      </c>
      <c r="AD89" s="201">
        <f t="shared" si="53"/>
        <v>90006.85</v>
      </c>
      <c r="AE89" s="201">
        <f t="shared" si="53"/>
        <v>24487.79</v>
      </c>
      <c r="AF89" s="201">
        <f t="shared" si="53"/>
        <v>0</v>
      </c>
      <c r="AG89" s="201">
        <f t="shared" si="53"/>
        <v>0</v>
      </c>
      <c r="AH89" s="201">
        <f t="shared" si="53"/>
        <v>0</v>
      </c>
      <c r="AI89" s="173"/>
      <c r="AJ89" s="205">
        <f t="shared" si="50"/>
        <v>799978.86</v>
      </c>
      <c r="AK89" s="206">
        <f t="shared" si="50"/>
        <v>97369.9</v>
      </c>
      <c r="AL89" s="205">
        <f t="shared" si="51"/>
        <v>897348.76</v>
      </c>
    </row>
    <row r="90" spans="1:38" ht="11.4" customHeight="1">
      <c r="A90" s="220" t="s">
        <v>479</v>
      </c>
      <c r="B90" s="196">
        <f>B77+B81+B85+B89</f>
        <v>372188</v>
      </c>
      <c r="C90" s="196">
        <f t="shared" ref="C90:AH90" si="54">C77+C81+C85+C89</f>
        <v>6990.96</v>
      </c>
      <c r="D90" s="196">
        <f t="shared" si="54"/>
        <v>379178.96</v>
      </c>
      <c r="E90" s="196">
        <f t="shared" si="54"/>
        <v>503046</v>
      </c>
      <c r="F90" s="196">
        <f t="shared" si="54"/>
        <v>457104.9</v>
      </c>
      <c r="G90" s="196">
        <f t="shared" si="54"/>
        <v>45941.1</v>
      </c>
      <c r="H90" s="196">
        <f t="shared" si="54"/>
        <v>637004.28</v>
      </c>
      <c r="I90" s="196">
        <f t="shared" si="54"/>
        <v>578829.25</v>
      </c>
      <c r="J90" s="196">
        <f t="shared" si="54"/>
        <v>58175.03</v>
      </c>
      <c r="K90" s="196">
        <f t="shared" si="54"/>
        <v>0</v>
      </c>
      <c r="L90" s="196">
        <f t="shared" si="54"/>
        <v>0</v>
      </c>
      <c r="M90" s="196">
        <f t="shared" si="54"/>
        <v>0</v>
      </c>
      <c r="N90" s="196">
        <f t="shared" si="54"/>
        <v>550008</v>
      </c>
      <c r="O90" s="196">
        <f t="shared" si="54"/>
        <v>53837.26</v>
      </c>
      <c r="P90" s="196">
        <f t="shared" si="54"/>
        <v>603845.26</v>
      </c>
      <c r="Q90" s="196">
        <f t="shared" si="54"/>
        <v>0</v>
      </c>
      <c r="R90" s="196">
        <f t="shared" si="54"/>
        <v>0</v>
      </c>
      <c r="S90" s="196">
        <f t="shared" si="54"/>
        <v>0</v>
      </c>
      <c r="T90" s="196">
        <f t="shared" si="54"/>
        <v>1226676</v>
      </c>
      <c r="U90" s="196">
        <f t="shared" si="54"/>
        <v>203882.94</v>
      </c>
      <c r="V90" s="196">
        <f t="shared" si="54"/>
        <v>1430558.94</v>
      </c>
      <c r="W90" s="196">
        <f t="shared" si="54"/>
        <v>0</v>
      </c>
      <c r="X90" s="196">
        <f t="shared" si="54"/>
        <v>0</v>
      </c>
      <c r="Y90" s="196">
        <f t="shared" si="54"/>
        <v>0</v>
      </c>
      <c r="Z90" s="196">
        <f t="shared" si="54"/>
        <v>0</v>
      </c>
      <c r="AA90" s="196">
        <f t="shared" si="54"/>
        <v>0</v>
      </c>
      <c r="AB90" s="196">
        <f t="shared" si="54"/>
        <v>0</v>
      </c>
      <c r="AC90" s="196">
        <f t="shared" si="54"/>
        <v>457978.56</v>
      </c>
      <c r="AD90" s="196">
        <f t="shared" si="54"/>
        <v>346964.62</v>
      </c>
      <c r="AE90" s="196">
        <f t="shared" si="54"/>
        <v>111013.94</v>
      </c>
      <c r="AF90" s="196">
        <f t="shared" si="54"/>
        <v>833332</v>
      </c>
      <c r="AG90" s="196">
        <f t="shared" si="54"/>
        <v>4252.28</v>
      </c>
      <c r="AH90" s="196">
        <f t="shared" si="54"/>
        <v>837584.28</v>
      </c>
      <c r="AI90" s="220" t="s">
        <v>479</v>
      </c>
      <c r="AJ90" s="205">
        <f>B90+F90+I90+K90+N90+Q90+T90+W90+Z90+AD90+AF90</f>
        <v>4365102.7699999996</v>
      </c>
      <c r="AK90" s="206">
        <f>C90+G90+J90+L90+O90+R90+U90+X90+AA90+AE90+AG90</f>
        <v>484093.51</v>
      </c>
      <c r="AL90" s="205">
        <f>D90+E90+H90+M90+P90+S90+V90+Y90+AB90+AC90+AH90</f>
        <v>4849196.28</v>
      </c>
    </row>
    <row r="91" spans="1:38" ht="11.4" customHeight="1">
      <c r="A91" s="173" t="s">
        <v>480</v>
      </c>
      <c r="B91" s="229"/>
      <c r="C91" s="225"/>
      <c r="D91" s="225"/>
      <c r="E91" s="177">
        <v>41920.5</v>
      </c>
      <c r="F91" s="177">
        <v>39551.800000000003</v>
      </c>
      <c r="G91" s="178">
        <f t="shared" si="8"/>
        <v>2368.6999999999998</v>
      </c>
      <c r="H91" s="177">
        <v>53083.69</v>
      </c>
      <c r="I91" s="177">
        <v>50084.21</v>
      </c>
      <c r="J91" s="180">
        <f t="shared" si="7"/>
        <v>2999.48</v>
      </c>
      <c r="K91" s="225"/>
      <c r="L91" s="225"/>
      <c r="M91" s="226"/>
      <c r="N91" s="207">
        <v>45834</v>
      </c>
      <c r="O91" s="175">
        <v>3308.67</v>
      </c>
      <c r="P91" s="176">
        <f t="shared" si="13"/>
        <v>49142.67</v>
      </c>
      <c r="Q91" s="208"/>
      <c r="R91" s="209"/>
      <c r="S91" s="210"/>
      <c r="T91" s="215">
        <v>102223</v>
      </c>
      <c r="U91" s="216">
        <v>13369.96</v>
      </c>
      <c r="V91" s="215">
        <f t="shared" si="16"/>
        <v>115592.96000000001</v>
      </c>
      <c r="W91" s="215"/>
      <c r="X91" s="215"/>
      <c r="Y91" s="215"/>
      <c r="Z91" s="215"/>
      <c r="AA91" s="215"/>
      <c r="AB91" s="215"/>
      <c r="AC91" s="215">
        <f t="shared" si="46"/>
        <v>38164.879999999997</v>
      </c>
      <c r="AD91" s="215">
        <v>30503.7</v>
      </c>
      <c r="AE91" s="215">
        <v>7661.18</v>
      </c>
      <c r="AF91" s="215"/>
      <c r="AG91" s="215"/>
      <c r="AH91" s="215"/>
      <c r="AI91" s="173" t="s">
        <v>480</v>
      </c>
      <c r="AJ91" s="205">
        <f>AJ77+AJ81+AJ85+AJ89</f>
        <v>4365102.7699999996</v>
      </c>
      <c r="AK91" s="205">
        <f t="shared" ref="AK91:AL91" si="55">AK77+AK81+AK85+AK89</f>
        <v>484093.51</v>
      </c>
      <c r="AL91" s="205">
        <f t="shared" si="55"/>
        <v>4849196.28</v>
      </c>
    </row>
    <row r="92" spans="1:38" ht="11.4" customHeight="1">
      <c r="A92" s="173">
        <v>2</v>
      </c>
      <c r="B92" s="229"/>
      <c r="C92" s="225"/>
      <c r="D92" s="225"/>
      <c r="E92" s="177">
        <v>41920.5</v>
      </c>
      <c r="F92" s="177">
        <v>39782.519999999997</v>
      </c>
      <c r="G92" s="178">
        <f t="shared" si="8"/>
        <v>2137.98</v>
      </c>
      <c r="H92" s="177">
        <v>53083.69</v>
      </c>
      <c r="I92" s="177">
        <v>50376.37</v>
      </c>
      <c r="J92" s="180">
        <f t="shared" si="7"/>
        <v>2707.32</v>
      </c>
      <c r="K92" s="225"/>
      <c r="L92" s="225"/>
      <c r="M92" s="226"/>
      <c r="N92" s="207">
        <v>45834</v>
      </c>
      <c r="O92" s="175">
        <v>3114.03</v>
      </c>
      <c r="P92" s="176">
        <f t="shared" si="13"/>
        <v>48948.03</v>
      </c>
      <c r="Q92" s="208"/>
      <c r="R92" s="209"/>
      <c r="S92" s="210"/>
      <c r="T92" s="215">
        <v>102223</v>
      </c>
      <c r="U92" s="216">
        <v>12762.22</v>
      </c>
      <c r="V92" s="215">
        <f t="shared" si="16"/>
        <v>114985.22</v>
      </c>
      <c r="W92" s="215"/>
      <c r="X92" s="215"/>
      <c r="Y92" s="215"/>
      <c r="Z92" s="215"/>
      <c r="AA92" s="215"/>
      <c r="AB92" s="215"/>
      <c r="AC92" s="215">
        <f t="shared" si="46"/>
        <v>38164.879999999997</v>
      </c>
      <c r="AD92" s="215">
        <v>30757.9</v>
      </c>
      <c r="AE92" s="215">
        <v>7406.98</v>
      </c>
      <c r="AF92" s="215"/>
      <c r="AG92" s="215"/>
      <c r="AH92" s="215"/>
      <c r="AI92" s="173">
        <v>2</v>
      </c>
      <c r="AJ92" s="205"/>
      <c r="AK92" s="205"/>
      <c r="AL92" s="205"/>
    </row>
    <row r="93" spans="1:38" ht="11.4" customHeight="1">
      <c r="A93" s="173">
        <v>3</v>
      </c>
      <c r="B93" s="229"/>
      <c r="C93" s="225"/>
      <c r="D93" s="225"/>
      <c r="E93" s="177">
        <v>41920.5</v>
      </c>
      <c r="F93" s="177">
        <v>40014.58</v>
      </c>
      <c r="G93" s="178">
        <f t="shared" si="8"/>
        <v>1905.92</v>
      </c>
      <c r="H93" s="177">
        <v>53083.69</v>
      </c>
      <c r="I93" s="177">
        <v>50670.23</v>
      </c>
      <c r="J93" s="180">
        <f t="shared" si="7"/>
        <v>2413.46</v>
      </c>
      <c r="K93" s="225"/>
      <c r="L93" s="225"/>
      <c r="M93" s="226"/>
      <c r="N93" s="207">
        <v>45834</v>
      </c>
      <c r="O93" s="175">
        <v>2636.87</v>
      </c>
      <c r="P93" s="176">
        <f t="shared" si="13"/>
        <v>48470.87</v>
      </c>
      <c r="Q93" s="208"/>
      <c r="R93" s="209"/>
      <c r="S93" s="210"/>
      <c r="T93" s="215">
        <v>102223</v>
      </c>
      <c r="U93" s="216">
        <v>10978.24</v>
      </c>
      <c r="V93" s="215">
        <f t="shared" si="16"/>
        <v>113201.24</v>
      </c>
      <c r="W93" s="215"/>
      <c r="X93" s="215"/>
      <c r="Y93" s="215"/>
      <c r="Z93" s="215"/>
      <c r="AA93" s="215"/>
      <c r="AB93" s="215"/>
      <c r="AC93" s="215">
        <f t="shared" si="46"/>
        <v>38164.879999999997</v>
      </c>
      <c r="AD93" s="215">
        <v>31014.22</v>
      </c>
      <c r="AE93" s="215">
        <v>7150.66</v>
      </c>
      <c r="AF93" s="215"/>
      <c r="AG93" s="215"/>
      <c r="AH93" s="215"/>
      <c r="AI93" s="173">
        <v>3</v>
      </c>
      <c r="AJ93" s="205"/>
      <c r="AK93" s="205"/>
      <c r="AL93" s="205"/>
    </row>
    <row r="94" spans="1:38" ht="11.4" customHeight="1">
      <c r="A94" s="173"/>
      <c r="B94" s="229"/>
      <c r="C94" s="225"/>
      <c r="D94" s="225"/>
      <c r="E94" s="201">
        <f>SUM(E91:E93)</f>
        <v>125761.5</v>
      </c>
      <c r="F94" s="201">
        <f t="shared" ref="F94:AH94" si="56">SUM(F91:F93)</f>
        <v>119348.9</v>
      </c>
      <c r="G94" s="201">
        <f t="shared" si="56"/>
        <v>6412.6</v>
      </c>
      <c r="H94" s="201">
        <f t="shared" si="56"/>
        <v>159251.07</v>
      </c>
      <c r="I94" s="201">
        <f t="shared" si="56"/>
        <v>151130.81</v>
      </c>
      <c r="J94" s="201">
        <f t="shared" si="56"/>
        <v>8120.26</v>
      </c>
      <c r="K94" s="201">
        <f t="shared" si="56"/>
        <v>0</v>
      </c>
      <c r="L94" s="201">
        <f t="shared" si="56"/>
        <v>0</v>
      </c>
      <c r="M94" s="201">
        <f t="shared" si="56"/>
        <v>0</v>
      </c>
      <c r="N94" s="201">
        <f t="shared" si="56"/>
        <v>137502</v>
      </c>
      <c r="O94" s="201">
        <f t="shared" si="56"/>
        <v>9059.57</v>
      </c>
      <c r="P94" s="201">
        <f t="shared" si="56"/>
        <v>146561.57</v>
      </c>
      <c r="Q94" s="201">
        <f t="shared" si="56"/>
        <v>0</v>
      </c>
      <c r="R94" s="201">
        <f t="shared" si="56"/>
        <v>0</v>
      </c>
      <c r="S94" s="201">
        <f t="shared" si="56"/>
        <v>0</v>
      </c>
      <c r="T94" s="201">
        <f t="shared" si="56"/>
        <v>306669</v>
      </c>
      <c r="U94" s="201">
        <f t="shared" si="56"/>
        <v>37110.42</v>
      </c>
      <c r="V94" s="201">
        <f t="shared" si="56"/>
        <v>343779.42</v>
      </c>
      <c r="W94" s="201">
        <f t="shared" si="56"/>
        <v>0</v>
      </c>
      <c r="X94" s="201">
        <f t="shared" si="56"/>
        <v>0</v>
      </c>
      <c r="Y94" s="201">
        <f t="shared" si="56"/>
        <v>0</v>
      </c>
      <c r="Z94" s="201">
        <f t="shared" si="56"/>
        <v>0</v>
      </c>
      <c r="AA94" s="201">
        <f t="shared" si="56"/>
        <v>0</v>
      </c>
      <c r="AB94" s="201">
        <f t="shared" si="56"/>
        <v>0</v>
      </c>
      <c r="AC94" s="201">
        <f t="shared" si="56"/>
        <v>114494.64</v>
      </c>
      <c r="AD94" s="201">
        <f t="shared" si="56"/>
        <v>92275.82</v>
      </c>
      <c r="AE94" s="201">
        <f t="shared" si="56"/>
        <v>22218.82</v>
      </c>
      <c r="AF94" s="201">
        <f t="shared" si="56"/>
        <v>0</v>
      </c>
      <c r="AG94" s="201">
        <f t="shared" si="56"/>
        <v>0</v>
      </c>
      <c r="AH94" s="201">
        <f t="shared" si="56"/>
        <v>0</v>
      </c>
      <c r="AI94" s="173"/>
      <c r="AJ94" s="205">
        <f t="shared" si="50"/>
        <v>806926.53</v>
      </c>
      <c r="AK94" s="206">
        <f t="shared" si="50"/>
        <v>82921.67</v>
      </c>
      <c r="AL94" s="205">
        <f t="shared" si="51"/>
        <v>889848.2</v>
      </c>
    </row>
    <row r="95" spans="1:38" ht="11.4" customHeight="1">
      <c r="A95" s="173">
        <v>4</v>
      </c>
      <c r="B95" s="229"/>
      <c r="C95" s="225"/>
      <c r="D95" s="225"/>
      <c r="E95" s="177">
        <v>41920.5</v>
      </c>
      <c r="F95" s="177">
        <v>40248</v>
      </c>
      <c r="G95" s="178">
        <f t="shared" si="8"/>
        <v>1672.5</v>
      </c>
      <c r="H95" s="177">
        <v>53083.69</v>
      </c>
      <c r="I95" s="177">
        <v>50965.81</v>
      </c>
      <c r="J95" s="180">
        <f t="shared" si="7"/>
        <v>2117.88</v>
      </c>
      <c r="K95" s="225"/>
      <c r="L95" s="225"/>
      <c r="M95" s="226"/>
      <c r="N95" s="207">
        <v>45834</v>
      </c>
      <c r="O95" s="175">
        <v>2724.76</v>
      </c>
      <c r="P95" s="176">
        <f t="shared" si="13"/>
        <v>48558.76</v>
      </c>
      <c r="Q95" s="208"/>
      <c r="R95" s="209"/>
      <c r="S95" s="210"/>
      <c r="T95" s="215">
        <v>102223</v>
      </c>
      <c r="U95" s="216">
        <v>11546.75</v>
      </c>
      <c r="V95" s="215">
        <f t="shared" si="16"/>
        <v>113769.75</v>
      </c>
      <c r="W95" s="215"/>
      <c r="X95" s="215"/>
      <c r="Y95" s="215"/>
      <c r="Z95" s="215"/>
      <c r="AA95" s="215"/>
      <c r="AB95" s="215"/>
      <c r="AC95" s="215">
        <f t="shared" si="46"/>
        <v>38164.879999999997</v>
      </c>
      <c r="AD95" s="215">
        <v>31272.67</v>
      </c>
      <c r="AE95" s="215">
        <v>6892.21</v>
      </c>
      <c r="AF95" s="215"/>
      <c r="AG95" s="215"/>
      <c r="AH95" s="215"/>
      <c r="AI95" s="173">
        <v>4</v>
      </c>
      <c r="AJ95" s="205"/>
      <c r="AK95" s="206"/>
      <c r="AL95" s="205"/>
    </row>
    <row r="96" spans="1:38" ht="11.4" customHeight="1">
      <c r="A96" s="173">
        <v>5</v>
      </c>
      <c r="B96" s="229"/>
      <c r="C96" s="225"/>
      <c r="D96" s="225"/>
      <c r="E96" s="177">
        <v>41920.5</v>
      </c>
      <c r="F96" s="225">
        <v>40482.78</v>
      </c>
      <c r="G96" s="178">
        <f t="shared" si="8"/>
        <v>1437.72</v>
      </c>
      <c r="H96" s="177">
        <v>53083.69</v>
      </c>
      <c r="I96" s="225">
        <v>51263.11</v>
      </c>
      <c r="J96" s="180">
        <f t="shared" si="7"/>
        <v>1820.58</v>
      </c>
      <c r="K96" s="225"/>
      <c r="L96" s="225"/>
      <c r="M96" s="226"/>
      <c r="N96" s="207">
        <v>45834</v>
      </c>
      <c r="O96" s="175">
        <v>2448.5</v>
      </c>
      <c r="P96" s="176">
        <f t="shared" si="13"/>
        <v>48282.5</v>
      </c>
      <c r="Q96" s="208"/>
      <c r="R96" s="209"/>
      <c r="S96" s="210"/>
      <c r="T96" s="215">
        <v>102223</v>
      </c>
      <c r="U96" s="216">
        <v>10586.14</v>
      </c>
      <c r="V96" s="215">
        <f t="shared" si="16"/>
        <v>112809.14</v>
      </c>
      <c r="W96" s="215"/>
      <c r="X96" s="215"/>
      <c r="Y96" s="215"/>
      <c r="Z96" s="215"/>
      <c r="AA96" s="215"/>
      <c r="AB96" s="215"/>
      <c r="AC96" s="215">
        <f t="shared" si="46"/>
        <v>38164.879999999997</v>
      </c>
      <c r="AD96" s="215">
        <v>31533.27</v>
      </c>
      <c r="AE96" s="215">
        <v>6631.61</v>
      </c>
      <c r="AF96" s="215"/>
      <c r="AG96" s="215"/>
      <c r="AH96" s="215"/>
      <c r="AI96" s="173">
        <v>5</v>
      </c>
      <c r="AJ96" s="205"/>
      <c r="AK96" s="206"/>
      <c r="AL96" s="205"/>
    </row>
    <row r="97" spans="1:38" ht="11.4" customHeight="1">
      <c r="A97" s="173">
        <v>6</v>
      </c>
      <c r="B97" s="229"/>
      <c r="C97" s="225"/>
      <c r="D97" s="225"/>
      <c r="E97" s="177">
        <v>41920.5</v>
      </c>
      <c r="F97" s="225">
        <v>40718.93</v>
      </c>
      <c r="G97" s="178">
        <f t="shared" si="8"/>
        <v>1201.57</v>
      </c>
      <c r="H97" s="177">
        <v>53083.69</v>
      </c>
      <c r="I97" s="225">
        <v>51562.14</v>
      </c>
      <c r="J97" s="180">
        <f t="shared" si="7"/>
        <v>1521.55</v>
      </c>
      <c r="K97" s="225"/>
      <c r="L97" s="225"/>
      <c r="M97" s="226"/>
      <c r="N97" s="207">
        <v>45834</v>
      </c>
      <c r="O97" s="175">
        <v>2335.48</v>
      </c>
      <c r="P97" s="176">
        <f t="shared" si="13"/>
        <v>48169.48</v>
      </c>
      <c r="Q97" s="208"/>
      <c r="R97" s="209"/>
      <c r="S97" s="210"/>
      <c r="T97" s="215">
        <v>102223</v>
      </c>
      <c r="U97" s="216">
        <v>10331.27</v>
      </c>
      <c r="V97" s="215">
        <f t="shared" si="16"/>
        <v>112554.27</v>
      </c>
      <c r="W97" s="215"/>
      <c r="X97" s="215"/>
      <c r="Y97" s="215"/>
      <c r="Z97" s="215"/>
      <c r="AA97" s="215"/>
      <c r="AB97" s="215"/>
      <c r="AC97" s="215">
        <f t="shared" si="46"/>
        <v>38164.879999999997</v>
      </c>
      <c r="AD97" s="215">
        <v>31796.05</v>
      </c>
      <c r="AE97" s="215">
        <v>6368.83</v>
      </c>
      <c r="AF97" s="215"/>
      <c r="AG97" s="215"/>
      <c r="AH97" s="215"/>
      <c r="AI97" s="173">
        <v>6</v>
      </c>
      <c r="AJ97" s="205"/>
      <c r="AK97" s="206"/>
      <c r="AL97" s="205"/>
    </row>
    <row r="98" spans="1:38" ht="11.4" customHeight="1">
      <c r="A98" s="173"/>
      <c r="B98" s="229"/>
      <c r="C98" s="225"/>
      <c r="D98" s="225"/>
      <c r="E98" s="201">
        <f>SUM(E95:E97)</f>
        <v>125761.5</v>
      </c>
      <c r="F98" s="201">
        <f t="shared" ref="F98:AH98" si="57">SUM(F95:F97)</f>
        <v>121449.71</v>
      </c>
      <c r="G98" s="201">
        <f t="shared" si="57"/>
        <v>4311.79</v>
      </c>
      <c r="H98" s="201">
        <f t="shared" si="57"/>
        <v>159251.07</v>
      </c>
      <c r="I98" s="201">
        <f t="shared" si="57"/>
        <v>153791.06</v>
      </c>
      <c r="J98" s="201">
        <f t="shared" si="57"/>
        <v>5460.01</v>
      </c>
      <c r="K98" s="201">
        <f t="shared" si="57"/>
        <v>0</v>
      </c>
      <c r="L98" s="201">
        <f t="shared" si="57"/>
        <v>0</v>
      </c>
      <c r="M98" s="201">
        <f t="shared" si="57"/>
        <v>0</v>
      </c>
      <c r="N98" s="201">
        <f t="shared" si="57"/>
        <v>137502</v>
      </c>
      <c r="O98" s="201">
        <f t="shared" si="57"/>
        <v>7508.74</v>
      </c>
      <c r="P98" s="201">
        <f t="shared" si="57"/>
        <v>145010.74</v>
      </c>
      <c r="Q98" s="201">
        <f t="shared" si="57"/>
        <v>0</v>
      </c>
      <c r="R98" s="201">
        <f t="shared" si="57"/>
        <v>0</v>
      </c>
      <c r="S98" s="201">
        <f t="shared" si="57"/>
        <v>0</v>
      </c>
      <c r="T98" s="201">
        <f t="shared" si="57"/>
        <v>306669</v>
      </c>
      <c r="U98" s="201">
        <f t="shared" si="57"/>
        <v>32464.16</v>
      </c>
      <c r="V98" s="201">
        <f t="shared" si="57"/>
        <v>339133.16</v>
      </c>
      <c r="W98" s="201">
        <f t="shared" si="57"/>
        <v>0</v>
      </c>
      <c r="X98" s="201">
        <f t="shared" si="57"/>
        <v>0</v>
      </c>
      <c r="Y98" s="201">
        <f t="shared" si="57"/>
        <v>0</v>
      </c>
      <c r="Z98" s="201">
        <f t="shared" si="57"/>
        <v>0</v>
      </c>
      <c r="AA98" s="201">
        <f t="shared" si="57"/>
        <v>0</v>
      </c>
      <c r="AB98" s="201">
        <f t="shared" si="57"/>
        <v>0</v>
      </c>
      <c r="AC98" s="201">
        <f t="shared" si="57"/>
        <v>114494.64</v>
      </c>
      <c r="AD98" s="201">
        <f t="shared" si="57"/>
        <v>94601.99</v>
      </c>
      <c r="AE98" s="201">
        <f t="shared" si="57"/>
        <v>19892.650000000001</v>
      </c>
      <c r="AF98" s="201">
        <f t="shared" si="57"/>
        <v>0</v>
      </c>
      <c r="AG98" s="201">
        <f t="shared" si="57"/>
        <v>0</v>
      </c>
      <c r="AH98" s="201">
        <f t="shared" si="57"/>
        <v>0</v>
      </c>
      <c r="AI98" s="173"/>
      <c r="AJ98" s="205">
        <f t="shared" si="50"/>
        <v>814013.76</v>
      </c>
      <c r="AK98" s="206">
        <f t="shared" si="50"/>
        <v>69637.350000000006</v>
      </c>
      <c r="AL98" s="205">
        <f t="shared" si="51"/>
        <v>883651.11</v>
      </c>
    </row>
    <row r="99" spans="1:38" ht="11.4" customHeight="1">
      <c r="A99" s="173">
        <v>7</v>
      </c>
      <c r="B99" s="229"/>
      <c r="C99" s="225"/>
      <c r="D99" s="225"/>
      <c r="E99" s="177">
        <v>41920.5</v>
      </c>
      <c r="F99" s="225">
        <v>40956.46</v>
      </c>
      <c r="G99" s="178">
        <f t="shared" si="8"/>
        <v>964.04</v>
      </c>
      <c r="H99" s="177">
        <v>53083.69</v>
      </c>
      <c r="I99" s="225">
        <v>51862.92</v>
      </c>
      <c r="J99" s="180">
        <f t="shared" si="7"/>
        <v>1220.77</v>
      </c>
      <c r="K99" s="225"/>
      <c r="L99" s="225"/>
      <c r="M99" s="226"/>
      <c r="N99" s="207">
        <v>45834</v>
      </c>
      <c r="O99" s="175">
        <v>2071.7800000000002</v>
      </c>
      <c r="P99" s="176">
        <f t="shared" si="13"/>
        <v>47905.78</v>
      </c>
      <c r="Q99" s="208"/>
      <c r="R99" s="209"/>
      <c r="S99" s="210"/>
      <c r="T99" s="215">
        <v>102223</v>
      </c>
      <c r="U99" s="216">
        <v>9409.8799999999992</v>
      </c>
      <c r="V99" s="215">
        <f t="shared" si="16"/>
        <v>111632.88</v>
      </c>
      <c r="W99" s="215"/>
      <c r="X99" s="215"/>
      <c r="Y99" s="215"/>
      <c r="Z99" s="215"/>
      <c r="AA99" s="215"/>
      <c r="AB99" s="215"/>
      <c r="AC99" s="215">
        <f t="shared" si="46"/>
        <v>38164.879999999997</v>
      </c>
      <c r="AD99" s="215">
        <v>32061.02</v>
      </c>
      <c r="AE99" s="215">
        <v>6103.86</v>
      </c>
      <c r="AF99" s="215"/>
      <c r="AG99" s="215"/>
      <c r="AH99" s="215"/>
      <c r="AI99" s="173">
        <v>7</v>
      </c>
      <c r="AJ99" s="205"/>
      <c r="AK99" s="206"/>
      <c r="AL99" s="205"/>
    </row>
    <row r="100" spans="1:38" ht="11.4" customHeight="1">
      <c r="A100" s="173">
        <v>8</v>
      </c>
      <c r="B100" s="229"/>
      <c r="C100" s="225"/>
      <c r="D100" s="225"/>
      <c r="E100" s="177">
        <v>41920.5</v>
      </c>
      <c r="F100" s="225">
        <v>41195.370000000003</v>
      </c>
      <c r="G100" s="178">
        <f t="shared" si="8"/>
        <v>725.13</v>
      </c>
      <c r="H100" s="177">
        <v>53083.69</v>
      </c>
      <c r="I100" s="225">
        <v>52165.46</v>
      </c>
      <c r="J100" s="180">
        <f t="shared" si="7"/>
        <v>918.23</v>
      </c>
      <c r="K100" s="225"/>
      <c r="L100" s="225"/>
      <c r="M100" s="226"/>
      <c r="N100" s="207">
        <v>45834</v>
      </c>
      <c r="O100" s="175">
        <v>1946.21</v>
      </c>
      <c r="P100" s="176">
        <f t="shared" si="13"/>
        <v>47780.21</v>
      </c>
      <c r="Q100" s="208"/>
      <c r="R100" s="209"/>
      <c r="S100" s="210"/>
      <c r="T100" s="215">
        <v>102223</v>
      </c>
      <c r="U100" s="216">
        <v>9115.7999999999993</v>
      </c>
      <c r="V100" s="215">
        <f t="shared" si="16"/>
        <v>111338.8</v>
      </c>
      <c r="W100" s="215"/>
      <c r="X100" s="215"/>
      <c r="Y100" s="215"/>
      <c r="Z100" s="215"/>
      <c r="AA100" s="215"/>
      <c r="AB100" s="215"/>
      <c r="AC100" s="215">
        <f t="shared" si="46"/>
        <v>38164.879999999997</v>
      </c>
      <c r="AD100" s="215">
        <v>32328.19</v>
      </c>
      <c r="AE100" s="215">
        <v>5836.69</v>
      </c>
      <c r="AF100" s="215"/>
      <c r="AG100" s="215"/>
      <c r="AH100" s="215"/>
      <c r="AI100" s="173">
        <v>8</v>
      </c>
      <c r="AJ100" s="205"/>
      <c r="AK100" s="206"/>
      <c r="AL100" s="205"/>
    </row>
    <row r="101" spans="1:38" ht="11.4" customHeight="1">
      <c r="A101" s="173">
        <v>9</v>
      </c>
      <c r="B101" s="229"/>
      <c r="C101" s="225"/>
      <c r="D101" s="225"/>
      <c r="E101" s="177">
        <v>41920.5</v>
      </c>
      <c r="F101" s="225">
        <v>41435.68</v>
      </c>
      <c r="G101" s="178">
        <f t="shared" si="8"/>
        <v>484.82</v>
      </c>
      <c r="H101" s="177">
        <v>53083.69</v>
      </c>
      <c r="I101" s="225">
        <v>52469.75</v>
      </c>
      <c r="J101" s="180">
        <f t="shared" si="7"/>
        <v>613.94000000000005</v>
      </c>
      <c r="K101" s="225"/>
      <c r="L101" s="225"/>
      <c r="M101" s="226"/>
      <c r="N101" s="207">
        <v>45834</v>
      </c>
      <c r="O101" s="175">
        <v>1751.57</v>
      </c>
      <c r="P101" s="176">
        <f t="shared" si="13"/>
        <v>47585.57</v>
      </c>
      <c r="Q101" s="208"/>
      <c r="R101" s="209"/>
      <c r="S101" s="210"/>
      <c r="T101" s="215">
        <v>102223</v>
      </c>
      <c r="U101" s="216">
        <v>8508.06</v>
      </c>
      <c r="V101" s="215">
        <f t="shared" si="16"/>
        <v>110731.06</v>
      </c>
      <c r="W101" s="215"/>
      <c r="X101" s="215"/>
      <c r="Y101" s="215"/>
      <c r="Z101" s="215"/>
      <c r="AA101" s="215"/>
      <c r="AB101" s="215"/>
      <c r="AC101" s="215">
        <f t="shared" si="46"/>
        <v>38164.879999999997</v>
      </c>
      <c r="AD101" s="215">
        <v>32597.599999999999</v>
      </c>
      <c r="AE101" s="215">
        <v>5567.28</v>
      </c>
      <c r="AF101" s="215"/>
      <c r="AG101" s="215"/>
      <c r="AH101" s="215"/>
      <c r="AI101" s="173">
        <v>9</v>
      </c>
      <c r="AJ101" s="205"/>
      <c r="AK101" s="206"/>
      <c r="AL101" s="205"/>
    </row>
    <row r="102" spans="1:38" ht="11.4" customHeight="1">
      <c r="A102" s="173"/>
      <c r="B102" s="229"/>
      <c r="C102" s="225"/>
      <c r="D102" s="225"/>
      <c r="E102" s="201">
        <f>SUM(E99:E101)</f>
        <v>125761.5</v>
      </c>
      <c r="F102" s="201">
        <f t="shared" ref="F102:AH102" si="58">SUM(F99:F101)</f>
        <v>123587.51</v>
      </c>
      <c r="G102" s="201">
        <f t="shared" si="58"/>
        <v>2173.9899999999998</v>
      </c>
      <c r="H102" s="201">
        <f t="shared" si="58"/>
        <v>159251.07</v>
      </c>
      <c r="I102" s="201">
        <f t="shared" si="58"/>
        <v>156498.13</v>
      </c>
      <c r="J102" s="201">
        <f t="shared" si="58"/>
        <v>2752.94</v>
      </c>
      <c r="K102" s="201">
        <f t="shared" si="58"/>
        <v>0</v>
      </c>
      <c r="L102" s="201">
        <f t="shared" si="58"/>
        <v>0</v>
      </c>
      <c r="M102" s="201">
        <f t="shared" si="58"/>
        <v>0</v>
      </c>
      <c r="N102" s="201">
        <f t="shared" si="58"/>
        <v>137502</v>
      </c>
      <c r="O102" s="201">
        <f t="shared" si="58"/>
        <v>5769.56</v>
      </c>
      <c r="P102" s="201">
        <f t="shared" si="58"/>
        <v>143271.56</v>
      </c>
      <c r="Q102" s="201">
        <f t="shared" si="58"/>
        <v>0</v>
      </c>
      <c r="R102" s="201">
        <f t="shared" si="58"/>
        <v>0</v>
      </c>
      <c r="S102" s="201">
        <f t="shared" si="58"/>
        <v>0</v>
      </c>
      <c r="T102" s="201">
        <f t="shared" si="58"/>
        <v>306669</v>
      </c>
      <c r="U102" s="201">
        <f t="shared" si="58"/>
        <v>27033.74</v>
      </c>
      <c r="V102" s="201">
        <f t="shared" si="58"/>
        <v>333702.74</v>
      </c>
      <c r="W102" s="201">
        <f t="shared" si="58"/>
        <v>0</v>
      </c>
      <c r="X102" s="201">
        <f t="shared" si="58"/>
        <v>0</v>
      </c>
      <c r="Y102" s="201">
        <f t="shared" si="58"/>
        <v>0</v>
      </c>
      <c r="Z102" s="201">
        <f t="shared" si="58"/>
        <v>0</v>
      </c>
      <c r="AA102" s="201">
        <f t="shared" si="58"/>
        <v>0</v>
      </c>
      <c r="AB102" s="201">
        <f t="shared" si="58"/>
        <v>0</v>
      </c>
      <c r="AC102" s="201">
        <f t="shared" si="58"/>
        <v>114494.64</v>
      </c>
      <c r="AD102" s="201">
        <f t="shared" si="58"/>
        <v>96986.81</v>
      </c>
      <c r="AE102" s="201">
        <f t="shared" si="58"/>
        <v>17507.830000000002</v>
      </c>
      <c r="AF102" s="201">
        <f t="shared" si="58"/>
        <v>0</v>
      </c>
      <c r="AG102" s="201">
        <f t="shared" si="58"/>
        <v>0</v>
      </c>
      <c r="AH102" s="201">
        <f t="shared" si="58"/>
        <v>0</v>
      </c>
      <c r="AI102" s="173"/>
      <c r="AJ102" s="205">
        <f t="shared" si="50"/>
        <v>821243.45</v>
      </c>
      <c r="AK102" s="206">
        <f t="shared" si="50"/>
        <v>55238.06</v>
      </c>
      <c r="AL102" s="205">
        <f t="shared" si="51"/>
        <v>876481.51</v>
      </c>
    </row>
    <row r="103" spans="1:38" ht="11.4" customHeight="1">
      <c r="A103" s="173">
        <v>10</v>
      </c>
      <c r="B103" s="229"/>
      <c r="C103" s="225"/>
      <c r="D103" s="225"/>
      <c r="E103" s="177">
        <v>41920.5</v>
      </c>
      <c r="F103" s="225">
        <v>41677.379999999997</v>
      </c>
      <c r="G103" s="178">
        <f t="shared" si="8"/>
        <v>243.12</v>
      </c>
      <c r="H103" s="177">
        <v>53083.69</v>
      </c>
      <c r="I103" s="225">
        <v>52775.83</v>
      </c>
      <c r="J103" s="180">
        <f t="shared" si="7"/>
        <v>307.86</v>
      </c>
      <c r="K103" s="225"/>
      <c r="L103" s="225"/>
      <c r="M103" s="226"/>
      <c r="N103" s="207">
        <v>45834</v>
      </c>
      <c r="O103" s="175">
        <v>1506.71</v>
      </c>
      <c r="P103" s="176">
        <f t="shared" si="13"/>
        <v>47340.71</v>
      </c>
      <c r="Q103" s="208"/>
      <c r="R103" s="209"/>
      <c r="S103" s="210"/>
      <c r="T103" s="215">
        <v>102223</v>
      </c>
      <c r="U103" s="216">
        <v>7645.48</v>
      </c>
      <c r="V103" s="215">
        <f t="shared" si="16"/>
        <v>109868.48</v>
      </c>
      <c r="W103" s="215"/>
      <c r="X103" s="215"/>
      <c r="Y103" s="215"/>
      <c r="Z103" s="215"/>
      <c r="AA103" s="215"/>
      <c r="AB103" s="215"/>
      <c r="AC103" s="215">
        <f t="shared" si="46"/>
        <v>38164.879999999997</v>
      </c>
      <c r="AD103" s="215">
        <v>32869.24</v>
      </c>
      <c r="AE103" s="215">
        <v>5295.64</v>
      </c>
      <c r="AF103" s="215"/>
      <c r="AG103" s="215"/>
      <c r="AH103" s="215"/>
      <c r="AI103" s="173">
        <v>10</v>
      </c>
      <c r="AJ103" s="205"/>
      <c r="AK103" s="206"/>
      <c r="AL103" s="205"/>
    </row>
    <row r="104" spans="1:38" ht="11.4" customHeight="1">
      <c r="A104" s="173">
        <v>11</v>
      </c>
      <c r="B104" s="229"/>
      <c r="C104" s="225"/>
      <c r="D104" s="225"/>
      <c r="E104" s="177">
        <v>0</v>
      </c>
      <c r="F104" s="177">
        <v>0</v>
      </c>
      <c r="G104" s="178">
        <f t="shared" si="8"/>
        <v>0</v>
      </c>
      <c r="H104" s="177">
        <v>0</v>
      </c>
      <c r="I104" s="177">
        <v>0</v>
      </c>
      <c r="J104" s="180">
        <f>H104-I104</f>
        <v>0</v>
      </c>
      <c r="K104" s="225"/>
      <c r="L104" s="225"/>
      <c r="M104" s="226"/>
      <c r="N104" s="207">
        <v>45834</v>
      </c>
      <c r="O104" s="175">
        <v>1362.29</v>
      </c>
      <c r="P104" s="176">
        <f t="shared" si="13"/>
        <v>47196.29</v>
      </c>
      <c r="Q104" s="208"/>
      <c r="R104" s="209"/>
      <c r="S104" s="210"/>
      <c r="T104" s="215">
        <v>102223</v>
      </c>
      <c r="U104" s="216">
        <v>7292.59</v>
      </c>
      <c r="V104" s="215">
        <f t="shared" si="16"/>
        <v>109515.59</v>
      </c>
      <c r="W104" s="215"/>
      <c r="X104" s="215"/>
      <c r="Y104" s="215"/>
      <c r="Z104" s="215"/>
      <c r="AA104" s="215"/>
      <c r="AB104" s="215"/>
      <c r="AC104" s="215">
        <f t="shared" si="46"/>
        <v>38164.879999999997</v>
      </c>
      <c r="AD104" s="215">
        <v>33143.15</v>
      </c>
      <c r="AE104" s="215">
        <v>5021.7299999999996</v>
      </c>
      <c r="AF104" s="215"/>
      <c r="AG104" s="215"/>
      <c r="AH104" s="215"/>
      <c r="AI104" s="173">
        <v>11</v>
      </c>
      <c r="AJ104" s="205"/>
      <c r="AK104" s="206"/>
      <c r="AL104" s="205"/>
    </row>
    <row r="105" spans="1:38" ht="11.4" customHeight="1">
      <c r="A105" s="173">
        <v>12</v>
      </c>
      <c r="B105" s="229"/>
      <c r="C105" s="225"/>
      <c r="D105" s="225"/>
      <c r="E105" s="177">
        <v>0</v>
      </c>
      <c r="F105" s="177">
        <v>0</v>
      </c>
      <c r="G105" s="178">
        <f t="shared" si="8"/>
        <v>0</v>
      </c>
      <c r="H105" s="177">
        <v>0</v>
      </c>
      <c r="I105" s="177">
        <v>0</v>
      </c>
      <c r="J105" s="180">
        <f>H105-I105</f>
        <v>0</v>
      </c>
      <c r="K105" s="225"/>
      <c r="L105" s="225"/>
      <c r="M105" s="226"/>
      <c r="N105" s="207">
        <v>45834</v>
      </c>
      <c r="O105" s="175">
        <v>1129.99</v>
      </c>
      <c r="P105" s="176">
        <f t="shared" si="13"/>
        <v>46963.99</v>
      </c>
      <c r="Q105" s="208"/>
      <c r="R105" s="209"/>
      <c r="S105" s="210"/>
      <c r="T105" s="215">
        <v>102223</v>
      </c>
      <c r="U105" s="216">
        <v>6469.21</v>
      </c>
      <c r="V105" s="215">
        <f t="shared" si="16"/>
        <v>108692.21</v>
      </c>
      <c r="W105" s="215"/>
      <c r="X105" s="215"/>
      <c r="Y105" s="215"/>
      <c r="Z105" s="215"/>
      <c r="AA105" s="215"/>
      <c r="AB105" s="215"/>
      <c r="AC105" s="215">
        <f t="shared" si="46"/>
        <v>38164.879999999997</v>
      </c>
      <c r="AD105" s="215">
        <v>33419.35</v>
      </c>
      <c r="AE105" s="215">
        <v>4745.53</v>
      </c>
      <c r="AF105" s="215"/>
      <c r="AG105" s="215"/>
      <c r="AH105" s="215"/>
      <c r="AI105" s="173">
        <v>12</v>
      </c>
      <c r="AJ105" s="205"/>
      <c r="AK105" s="206"/>
      <c r="AL105" s="205"/>
    </row>
    <row r="106" spans="1:38" ht="11.4" customHeight="1">
      <c r="A106" s="173"/>
      <c r="B106" s="229"/>
      <c r="C106" s="225"/>
      <c r="D106" s="225"/>
      <c r="E106" s="201">
        <f>SUM(E103:E105)</f>
        <v>41920.5</v>
      </c>
      <c r="F106" s="201">
        <f t="shared" ref="F106:AH106" si="59">SUM(F103:F105)</f>
        <v>41677.379999999997</v>
      </c>
      <c r="G106" s="201">
        <f t="shared" si="59"/>
        <v>243.12</v>
      </c>
      <c r="H106" s="201">
        <f t="shared" si="59"/>
        <v>53083.69</v>
      </c>
      <c r="I106" s="201">
        <f t="shared" si="59"/>
        <v>52775.83</v>
      </c>
      <c r="J106" s="201">
        <f t="shared" si="59"/>
        <v>307.86</v>
      </c>
      <c r="K106" s="201">
        <f t="shared" si="59"/>
        <v>0</v>
      </c>
      <c r="L106" s="201">
        <f t="shared" si="59"/>
        <v>0</v>
      </c>
      <c r="M106" s="201">
        <f t="shared" si="59"/>
        <v>0</v>
      </c>
      <c r="N106" s="201">
        <f t="shared" si="59"/>
        <v>137502</v>
      </c>
      <c r="O106" s="201">
        <f t="shared" si="59"/>
        <v>3998.99</v>
      </c>
      <c r="P106" s="201">
        <f t="shared" si="59"/>
        <v>141500.99</v>
      </c>
      <c r="Q106" s="201">
        <f t="shared" si="59"/>
        <v>0</v>
      </c>
      <c r="R106" s="201">
        <f t="shared" si="59"/>
        <v>0</v>
      </c>
      <c r="S106" s="201">
        <f t="shared" si="59"/>
        <v>0</v>
      </c>
      <c r="T106" s="201">
        <f t="shared" si="59"/>
        <v>306669</v>
      </c>
      <c r="U106" s="201">
        <f t="shared" si="59"/>
        <v>21407.279999999999</v>
      </c>
      <c r="V106" s="201">
        <f t="shared" si="59"/>
        <v>328076.28000000003</v>
      </c>
      <c r="W106" s="201">
        <f t="shared" si="59"/>
        <v>0</v>
      </c>
      <c r="X106" s="201">
        <f t="shared" si="59"/>
        <v>0</v>
      </c>
      <c r="Y106" s="201">
        <f t="shared" si="59"/>
        <v>0</v>
      </c>
      <c r="Z106" s="201">
        <f t="shared" si="59"/>
        <v>0</v>
      </c>
      <c r="AA106" s="201">
        <f t="shared" si="59"/>
        <v>0</v>
      </c>
      <c r="AB106" s="201">
        <f t="shared" si="59"/>
        <v>0</v>
      </c>
      <c r="AC106" s="201">
        <f t="shared" si="59"/>
        <v>114494.64</v>
      </c>
      <c r="AD106" s="201">
        <f t="shared" si="59"/>
        <v>99431.74</v>
      </c>
      <c r="AE106" s="201">
        <f t="shared" si="59"/>
        <v>15062.9</v>
      </c>
      <c r="AF106" s="201">
        <f t="shared" si="59"/>
        <v>0</v>
      </c>
      <c r="AG106" s="201">
        <f t="shared" si="59"/>
        <v>0</v>
      </c>
      <c r="AH106" s="201">
        <f t="shared" si="59"/>
        <v>0</v>
      </c>
      <c r="AI106" s="173"/>
      <c r="AJ106" s="205">
        <f t="shared" si="50"/>
        <v>638055.94999999995</v>
      </c>
      <c r="AK106" s="206">
        <f t="shared" si="50"/>
        <v>41020.15</v>
      </c>
      <c r="AL106" s="205">
        <f t="shared" si="51"/>
        <v>679076.1</v>
      </c>
    </row>
    <row r="107" spans="1:38" ht="11.4" customHeight="1">
      <c r="A107" s="220" t="s">
        <v>481</v>
      </c>
      <c r="B107" s="229"/>
      <c r="C107" s="225"/>
      <c r="D107" s="225"/>
      <c r="E107" s="195">
        <f>E94+E98+E102+E106</f>
        <v>419205</v>
      </c>
      <c r="F107" s="195">
        <f t="shared" ref="F107:AH107" si="60">F94+F98+F102+F106</f>
        <v>406063.5</v>
      </c>
      <c r="G107" s="195">
        <f t="shared" si="60"/>
        <v>13141.5</v>
      </c>
      <c r="H107" s="195">
        <f t="shared" si="60"/>
        <v>530836.9</v>
      </c>
      <c r="I107" s="195">
        <f t="shared" si="60"/>
        <v>514195.83</v>
      </c>
      <c r="J107" s="195">
        <f t="shared" si="60"/>
        <v>16641.07</v>
      </c>
      <c r="K107" s="195">
        <f t="shared" si="60"/>
        <v>0</v>
      </c>
      <c r="L107" s="195">
        <f t="shared" si="60"/>
        <v>0</v>
      </c>
      <c r="M107" s="195">
        <f t="shared" si="60"/>
        <v>0</v>
      </c>
      <c r="N107" s="195">
        <f>N94+N98+N102+N106</f>
        <v>550008</v>
      </c>
      <c r="O107" s="195">
        <f t="shared" si="60"/>
        <v>26336.86</v>
      </c>
      <c r="P107" s="195">
        <f t="shared" si="60"/>
        <v>576344.86</v>
      </c>
      <c r="Q107" s="195">
        <f t="shared" si="60"/>
        <v>0</v>
      </c>
      <c r="R107" s="195">
        <f t="shared" si="60"/>
        <v>0</v>
      </c>
      <c r="S107" s="195">
        <f t="shared" si="60"/>
        <v>0</v>
      </c>
      <c r="T107" s="195">
        <f t="shared" si="60"/>
        <v>1226676</v>
      </c>
      <c r="U107" s="195">
        <f t="shared" si="60"/>
        <v>118015.6</v>
      </c>
      <c r="V107" s="195">
        <f t="shared" si="60"/>
        <v>1344691.6</v>
      </c>
      <c r="W107" s="195">
        <f t="shared" si="60"/>
        <v>0</v>
      </c>
      <c r="X107" s="195">
        <f t="shared" si="60"/>
        <v>0</v>
      </c>
      <c r="Y107" s="195">
        <f t="shared" si="60"/>
        <v>0</v>
      </c>
      <c r="Z107" s="195">
        <f t="shared" si="60"/>
        <v>0</v>
      </c>
      <c r="AA107" s="195">
        <f t="shared" si="60"/>
        <v>0</v>
      </c>
      <c r="AB107" s="195">
        <f t="shared" si="60"/>
        <v>0</v>
      </c>
      <c r="AC107" s="195">
        <f t="shared" si="60"/>
        <v>457978.56</v>
      </c>
      <c r="AD107" s="195">
        <f t="shared" si="60"/>
        <v>383296.36</v>
      </c>
      <c r="AE107" s="195">
        <f t="shared" si="60"/>
        <v>74682.2</v>
      </c>
      <c r="AF107" s="195">
        <f t="shared" si="60"/>
        <v>0</v>
      </c>
      <c r="AG107" s="195">
        <f t="shared" si="60"/>
        <v>0</v>
      </c>
      <c r="AH107" s="195">
        <f t="shared" si="60"/>
        <v>0</v>
      </c>
      <c r="AI107" s="220" t="s">
        <v>481</v>
      </c>
      <c r="AJ107" s="205">
        <f t="shared" si="50"/>
        <v>3080239.69</v>
      </c>
      <c r="AK107" s="206">
        <f>C107+G107+J107+L107+O107+R107+U107+X107+AA107+AE107</f>
        <v>248817.23</v>
      </c>
      <c r="AL107" s="205">
        <f t="shared" si="51"/>
        <v>3329056.92</v>
      </c>
    </row>
    <row r="108" spans="1:38" ht="11.4" customHeight="1">
      <c r="A108" s="173" t="s">
        <v>482</v>
      </c>
      <c r="B108" s="229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6"/>
      <c r="N108" s="207">
        <v>45834</v>
      </c>
      <c r="O108" s="175">
        <v>973.02</v>
      </c>
      <c r="P108" s="176">
        <f t="shared" si="13"/>
        <v>46807.02</v>
      </c>
      <c r="Q108" s="208"/>
      <c r="R108" s="209"/>
      <c r="S108" s="210"/>
      <c r="T108" s="215">
        <v>102223</v>
      </c>
      <c r="U108" s="216">
        <v>6077.12</v>
      </c>
      <c r="V108" s="215">
        <f t="shared" si="16"/>
        <v>108300.12</v>
      </c>
      <c r="W108" s="215"/>
      <c r="X108" s="215"/>
      <c r="Y108" s="215"/>
      <c r="Z108" s="215"/>
      <c r="AA108" s="215"/>
      <c r="AB108" s="215"/>
      <c r="AC108" s="215">
        <f t="shared" si="46"/>
        <v>38164.879999999997</v>
      </c>
      <c r="AD108" s="215">
        <v>33697.839999999997</v>
      </c>
      <c r="AE108" s="215">
        <v>4467.04</v>
      </c>
      <c r="AF108" s="215"/>
      <c r="AG108" s="215"/>
      <c r="AH108" s="215"/>
      <c r="AI108" s="173" t="s">
        <v>482</v>
      </c>
      <c r="AJ108" s="205">
        <f>AJ94+AJ98+AJ102+AJ106</f>
        <v>3080239.69</v>
      </c>
      <c r="AK108" s="205">
        <f t="shared" ref="AK108:AL108" si="61">AK94+AK98+AK102+AK106</f>
        <v>248817.23</v>
      </c>
      <c r="AL108" s="205">
        <f t="shared" si="61"/>
        <v>3329056.92</v>
      </c>
    </row>
    <row r="109" spans="1:38" ht="11.4" customHeight="1">
      <c r="A109" s="173">
        <v>2</v>
      </c>
      <c r="B109" s="229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6"/>
      <c r="N109" s="207">
        <v>45834</v>
      </c>
      <c r="O109" s="230">
        <v>778.38</v>
      </c>
      <c r="P109" s="176">
        <f t="shared" si="13"/>
        <v>46612.38</v>
      </c>
      <c r="Q109" s="208"/>
      <c r="R109" s="209"/>
      <c r="S109" s="210"/>
      <c r="T109" s="215">
        <v>102223</v>
      </c>
      <c r="U109" s="216">
        <v>5469.38</v>
      </c>
      <c r="V109" s="215">
        <f t="shared" si="16"/>
        <v>107692.38</v>
      </c>
      <c r="W109" s="215"/>
      <c r="X109" s="215"/>
      <c r="Y109" s="215"/>
      <c r="Z109" s="215"/>
      <c r="AA109" s="215"/>
      <c r="AB109" s="215"/>
      <c r="AC109" s="215">
        <f t="shared" si="46"/>
        <v>38164.879999999997</v>
      </c>
      <c r="AD109" s="215">
        <v>33978.660000000003</v>
      </c>
      <c r="AE109" s="215">
        <v>4186.22</v>
      </c>
      <c r="AF109" s="215"/>
      <c r="AG109" s="215"/>
      <c r="AH109" s="215"/>
      <c r="AI109" s="173">
        <v>2</v>
      </c>
      <c r="AJ109" s="205"/>
      <c r="AK109" s="205"/>
      <c r="AL109" s="205"/>
    </row>
    <row r="110" spans="1:38" ht="11.4" customHeight="1">
      <c r="A110" s="173">
        <v>3</v>
      </c>
      <c r="B110" s="229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6"/>
      <c r="N110" s="207">
        <v>45834</v>
      </c>
      <c r="O110" s="230">
        <v>546.08000000000004</v>
      </c>
      <c r="P110" s="176">
        <f t="shared" si="13"/>
        <v>46380.08</v>
      </c>
      <c r="Q110" s="208"/>
      <c r="R110" s="209"/>
      <c r="S110" s="210"/>
      <c r="T110" s="215">
        <v>102223</v>
      </c>
      <c r="U110" s="216">
        <v>4547.99</v>
      </c>
      <c r="V110" s="215">
        <f t="shared" si="16"/>
        <v>106770.99</v>
      </c>
      <c r="W110" s="215"/>
      <c r="X110" s="215"/>
      <c r="Y110" s="215"/>
      <c r="Z110" s="215"/>
      <c r="AA110" s="215"/>
      <c r="AB110" s="215"/>
      <c r="AC110" s="215">
        <f t="shared" si="46"/>
        <v>38164.879999999997</v>
      </c>
      <c r="AD110" s="215">
        <v>34261.81</v>
      </c>
      <c r="AE110" s="215">
        <v>3903.07</v>
      </c>
      <c r="AF110" s="215"/>
      <c r="AG110" s="215"/>
      <c r="AH110" s="215"/>
      <c r="AI110" s="173">
        <v>3</v>
      </c>
      <c r="AJ110" s="205"/>
      <c r="AK110" s="205"/>
      <c r="AL110" s="205"/>
    </row>
    <row r="111" spans="1:38" ht="11.4" customHeight="1">
      <c r="A111" s="173"/>
      <c r="B111" s="229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6"/>
      <c r="N111" s="293">
        <f>SUM(N108:N110)</f>
        <v>137502</v>
      </c>
      <c r="O111" s="293">
        <f t="shared" ref="O111:AE111" si="62">SUM(O108:O110)</f>
        <v>2297.48</v>
      </c>
      <c r="P111" s="293">
        <f t="shared" si="62"/>
        <v>139799.48000000001</v>
      </c>
      <c r="Q111" s="293">
        <f t="shared" si="62"/>
        <v>0</v>
      </c>
      <c r="R111" s="293">
        <f t="shared" si="62"/>
        <v>0</v>
      </c>
      <c r="S111" s="293">
        <f t="shared" si="62"/>
        <v>0</v>
      </c>
      <c r="T111" s="293">
        <f t="shared" si="62"/>
        <v>306669</v>
      </c>
      <c r="U111" s="293">
        <f t="shared" si="62"/>
        <v>16094.49</v>
      </c>
      <c r="V111" s="293">
        <f t="shared" si="62"/>
        <v>322763.49</v>
      </c>
      <c r="W111" s="293">
        <f t="shared" si="62"/>
        <v>0</v>
      </c>
      <c r="X111" s="293">
        <f t="shared" si="62"/>
        <v>0</v>
      </c>
      <c r="Y111" s="293">
        <f t="shared" si="62"/>
        <v>0</v>
      </c>
      <c r="Z111" s="293">
        <f t="shared" si="62"/>
        <v>0</v>
      </c>
      <c r="AA111" s="293">
        <f t="shared" si="62"/>
        <v>0</v>
      </c>
      <c r="AB111" s="293">
        <f t="shared" si="62"/>
        <v>0</v>
      </c>
      <c r="AC111" s="293">
        <f t="shared" si="62"/>
        <v>114494.64</v>
      </c>
      <c r="AD111" s="293">
        <f t="shared" si="62"/>
        <v>101938.31</v>
      </c>
      <c r="AE111" s="293">
        <f t="shared" si="62"/>
        <v>12556.33</v>
      </c>
      <c r="AF111" s="379"/>
      <c r="AG111" s="379"/>
      <c r="AH111" s="379"/>
      <c r="AI111" s="173"/>
      <c r="AJ111" s="205">
        <f t="shared" si="50"/>
        <v>546109.31000000006</v>
      </c>
      <c r="AK111" s="206">
        <f t="shared" si="50"/>
        <v>30948.3</v>
      </c>
      <c r="AL111" s="205">
        <f t="shared" si="51"/>
        <v>577057.61</v>
      </c>
    </row>
    <row r="112" spans="1:38" ht="11.4" customHeight="1">
      <c r="A112" s="173">
        <v>4</v>
      </c>
      <c r="B112" s="229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6"/>
      <c r="N112" s="207">
        <v>45834</v>
      </c>
      <c r="O112" s="230">
        <v>389.11</v>
      </c>
      <c r="P112" s="176">
        <f t="shared" si="13"/>
        <v>46223.11</v>
      </c>
      <c r="Q112" s="208"/>
      <c r="R112" s="209"/>
      <c r="S112" s="210"/>
      <c r="T112" s="215">
        <v>102223</v>
      </c>
      <c r="U112" s="216">
        <v>4253.91</v>
      </c>
      <c r="V112" s="215">
        <f t="shared" si="16"/>
        <v>106476.91</v>
      </c>
      <c r="W112" s="215"/>
      <c r="X112" s="215"/>
      <c r="Y112" s="215"/>
      <c r="Z112" s="215"/>
      <c r="AA112" s="215"/>
      <c r="AB112" s="215"/>
      <c r="AC112" s="215">
        <f t="shared" si="46"/>
        <v>38164.879999999997</v>
      </c>
      <c r="AD112" s="215">
        <v>34547.33</v>
      </c>
      <c r="AE112" s="215">
        <v>3617.55</v>
      </c>
      <c r="AF112" s="215"/>
      <c r="AG112" s="215"/>
      <c r="AH112" s="215"/>
      <c r="AI112" s="173">
        <v>4</v>
      </c>
      <c r="AJ112" s="205"/>
      <c r="AK112" s="206"/>
      <c r="AL112" s="205"/>
    </row>
    <row r="113" spans="1:38" ht="11.4" customHeight="1">
      <c r="A113" s="173">
        <v>5</v>
      </c>
      <c r="B113" s="229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6"/>
      <c r="N113" s="207">
        <v>45794</v>
      </c>
      <c r="O113" s="230">
        <v>181.92</v>
      </c>
      <c r="P113" s="176">
        <f t="shared" si="13"/>
        <v>45975.92</v>
      </c>
      <c r="Q113" s="208"/>
      <c r="R113" s="209"/>
      <c r="S113" s="210"/>
      <c r="T113" s="215">
        <v>102223</v>
      </c>
      <c r="U113" s="216">
        <v>3528.55</v>
      </c>
      <c r="V113" s="215">
        <f t="shared" si="16"/>
        <v>105751.55</v>
      </c>
      <c r="W113" s="215"/>
      <c r="X113" s="215"/>
      <c r="Y113" s="215"/>
      <c r="Z113" s="215"/>
      <c r="AA113" s="215"/>
      <c r="AB113" s="215"/>
      <c r="AC113" s="215">
        <f t="shared" si="46"/>
        <v>38164.879999999997</v>
      </c>
      <c r="AD113" s="215">
        <v>34835.22</v>
      </c>
      <c r="AE113" s="215">
        <v>3329.66</v>
      </c>
      <c r="AF113" s="215"/>
      <c r="AG113" s="215"/>
      <c r="AH113" s="215"/>
      <c r="AI113" s="173">
        <v>5</v>
      </c>
      <c r="AJ113" s="205"/>
      <c r="AK113" s="206"/>
      <c r="AL113" s="205"/>
    </row>
    <row r="114" spans="1:38" ht="11.4" customHeight="1">
      <c r="A114" s="173">
        <v>6</v>
      </c>
      <c r="B114" s="229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6"/>
      <c r="N114" s="231"/>
      <c r="O114" s="232"/>
      <c r="P114" s="233"/>
      <c r="Q114" s="231"/>
      <c r="R114" s="232"/>
      <c r="S114" s="221"/>
      <c r="T114" s="215">
        <v>102223</v>
      </c>
      <c r="U114" s="216">
        <v>3038.43</v>
      </c>
      <c r="V114" s="215">
        <f t="shared" si="16"/>
        <v>105261.43</v>
      </c>
      <c r="W114" s="215"/>
      <c r="X114" s="215"/>
      <c r="Y114" s="215"/>
      <c r="Z114" s="215"/>
      <c r="AA114" s="215"/>
      <c r="AB114" s="215"/>
      <c r="AC114" s="215">
        <f t="shared" si="46"/>
        <v>38164.879999999997</v>
      </c>
      <c r="AD114" s="215">
        <v>35125.51</v>
      </c>
      <c r="AE114" s="215">
        <v>3039.37</v>
      </c>
      <c r="AF114" s="215"/>
      <c r="AG114" s="215"/>
      <c r="AH114" s="215"/>
      <c r="AI114" s="173">
        <v>6</v>
      </c>
      <c r="AJ114" s="205"/>
      <c r="AK114" s="206"/>
      <c r="AL114" s="205"/>
    </row>
    <row r="115" spans="1:38" ht="11.4" customHeight="1">
      <c r="A115" s="173"/>
      <c r="B115" s="229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6"/>
      <c r="N115" s="294">
        <f>SUM(N112:N114)</f>
        <v>91628</v>
      </c>
      <c r="O115" s="294">
        <f t="shared" ref="O115:AE115" si="63">SUM(O112:O114)</f>
        <v>571.03</v>
      </c>
      <c r="P115" s="294">
        <f t="shared" si="63"/>
        <v>92199.03</v>
      </c>
      <c r="Q115" s="294">
        <f t="shared" si="63"/>
        <v>0</v>
      </c>
      <c r="R115" s="294">
        <f t="shared" si="63"/>
        <v>0</v>
      </c>
      <c r="S115" s="294">
        <f t="shared" si="63"/>
        <v>0</v>
      </c>
      <c r="T115" s="294">
        <f t="shared" si="63"/>
        <v>306669</v>
      </c>
      <c r="U115" s="294">
        <f t="shared" si="63"/>
        <v>10820.89</v>
      </c>
      <c r="V115" s="294">
        <f t="shared" si="63"/>
        <v>317489.89</v>
      </c>
      <c r="W115" s="294">
        <f t="shared" si="63"/>
        <v>0</v>
      </c>
      <c r="X115" s="294">
        <f t="shared" si="63"/>
        <v>0</v>
      </c>
      <c r="Y115" s="294">
        <f t="shared" si="63"/>
        <v>0</v>
      </c>
      <c r="Z115" s="294">
        <f t="shared" si="63"/>
        <v>0</v>
      </c>
      <c r="AA115" s="294">
        <f t="shared" si="63"/>
        <v>0</v>
      </c>
      <c r="AB115" s="294">
        <f t="shared" si="63"/>
        <v>0</v>
      </c>
      <c r="AC115" s="294">
        <f t="shared" si="63"/>
        <v>114494.64</v>
      </c>
      <c r="AD115" s="294">
        <f t="shared" si="63"/>
        <v>104508.06</v>
      </c>
      <c r="AE115" s="294">
        <f t="shared" si="63"/>
        <v>9986.58</v>
      </c>
      <c r="AF115" s="380"/>
      <c r="AG115" s="380"/>
      <c r="AH115" s="380"/>
      <c r="AI115" s="173"/>
      <c r="AJ115" s="205">
        <f t="shared" si="50"/>
        <v>502805.06</v>
      </c>
      <c r="AK115" s="206">
        <f t="shared" si="50"/>
        <v>21378.5</v>
      </c>
      <c r="AL115" s="205">
        <f t="shared" si="51"/>
        <v>524183.56</v>
      </c>
    </row>
    <row r="116" spans="1:38" ht="11.4" customHeight="1">
      <c r="A116" s="173">
        <v>7</v>
      </c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6"/>
      <c r="N116" s="234"/>
      <c r="O116" s="225"/>
      <c r="P116" s="176"/>
      <c r="Q116" s="208"/>
      <c r="R116" s="209"/>
      <c r="S116" s="210"/>
      <c r="T116" s="215">
        <v>102223</v>
      </c>
      <c r="U116" s="216">
        <v>2352.29</v>
      </c>
      <c r="V116" s="215">
        <f t="shared" si="16"/>
        <v>104575.29</v>
      </c>
      <c r="W116" s="215"/>
      <c r="X116" s="215"/>
      <c r="Y116" s="215"/>
      <c r="Z116" s="215"/>
      <c r="AA116" s="215"/>
      <c r="AB116" s="215"/>
      <c r="AC116" s="215">
        <f t="shared" si="46"/>
        <v>38164.879999999997</v>
      </c>
      <c r="AD116" s="215">
        <v>35418.230000000003</v>
      </c>
      <c r="AE116" s="215">
        <v>2746.65</v>
      </c>
      <c r="AF116" s="215"/>
      <c r="AG116" s="215"/>
      <c r="AH116" s="215"/>
      <c r="AI116" s="173">
        <v>7</v>
      </c>
      <c r="AJ116" s="205"/>
      <c r="AK116" s="206"/>
      <c r="AL116" s="205"/>
    </row>
    <row r="117" spans="1:38" ht="11.4" customHeight="1">
      <c r="A117" s="173">
        <v>8</v>
      </c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6"/>
      <c r="N117" s="234"/>
      <c r="O117" s="225"/>
      <c r="P117" s="226"/>
      <c r="Q117" s="234"/>
      <c r="R117" s="225"/>
      <c r="S117" s="235"/>
      <c r="T117" s="215">
        <v>102223</v>
      </c>
      <c r="U117" s="216">
        <v>1822.96</v>
      </c>
      <c r="V117" s="215">
        <f t="shared" si="16"/>
        <v>104045.96</v>
      </c>
      <c r="W117" s="215"/>
      <c r="X117" s="215"/>
      <c r="Y117" s="215"/>
      <c r="Z117" s="215"/>
      <c r="AA117" s="215"/>
      <c r="AB117" s="215"/>
      <c r="AC117" s="215">
        <f t="shared" si="46"/>
        <v>38164.879999999997</v>
      </c>
      <c r="AD117" s="215">
        <v>35713.379999999997</v>
      </c>
      <c r="AE117" s="215">
        <v>2451.5</v>
      </c>
      <c r="AF117" s="215"/>
      <c r="AG117" s="215"/>
      <c r="AH117" s="215"/>
      <c r="AI117" s="173">
        <v>8</v>
      </c>
      <c r="AJ117" s="205"/>
      <c r="AK117" s="206"/>
      <c r="AL117" s="205"/>
    </row>
    <row r="118" spans="1:38" ht="11.4" customHeight="1">
      <c r="A118" s="173">
        <v>9</v>
      </c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6"/>
      <c r="N118" s="234"/>
      <c r="O118" s="225"/>
      <c r="P118" s="226"/>
      <c r="Q118" s="234"/>
      <c r="R118" s="225"/>
      <c r="S118" s="235"/>
      <c r="T118" s="183">
        <v>204404</v>
      </c>
      <c r="U118" s="216">
        <v>1607.15</v>
      </c>
      <c r="V118" s="215">
        <f t="shared" si="16"/>
        <v>206011.15</v>
      </c>
      <c r="W118" s="215"/>
      <c r="X118" s="215"/>
      <c r="Y118" s="215"/>
      <c r="Z118" s="215"/>
      <c r="AA118" s="215"/>
      <c r="AB118" s="215"/>
      <c r="AC118" s="215">
        <f t="shared" si="46"/>
        <v>38164.879999999997</v>
      </c>
      <c r="AD118" s="215">
        <v>36010.99</v>
      </c>
      <c r="AE118" s="215">
        <v>2153.89</v>
      </c>
      <c r="AF118" s="215"/>
      <c r="AG118" s="215"/>
      <c r="AH118" s="215"/>
      <c r="AI118" s="173">
        <v>9</v>
      </c>
      <c r="AJ118" s="205"/>
      <c r="AK118" s="206"/>
      <c r="AL118" s="205"/>
    </row>
    <row r="119" spans="1:38" ht="11.4" customHeight="1">
      <c r="A119" s="173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6"/>
      <c r="N119" s="234"/>
      <c r="O119" s="225"/>
      <c r="P119" s="226"/>
      <c r="Q119" s="234"/>
      <c r="R119" s="225"/>
      <c r="S119" s="235"/>
      <c r="T119" s="200">
        <f>SUM(T116:T118)</f>
        <v>408850</v>
      </c>
      <c r="U119" s="200">
        <f t="shared" ref="U119:AE119" si="64">SUM(U116:U118)</f>
        <v>5782.4</v>
      </c>
      <c r="V119" s="200">
        <f t="shared" si="64"/>
        <v>414632.4</v>
      </c>
      <c r="W119" s="200">
        <f t="shared" si="64"/>
        <v>0</v>
      </c>
      <c r="X119" s="200">
        <f t="shared" si="64"/>
        <v>0</v>
      </c>
      <c r="Y119" s="200">
        <f t="shared" si="64"/>
        <v>0</v>
      </c>
      <c r="Z119" s="200">
        <f t="shared" si="64"/>
        <v>0</v>
      </c>
      <c r="AA119" s="200">
        <f t="shared" si="64"/>
        <v>0</v>
      </c>
      <c r="AB119" s="200">
        <f t="shared" si="64"/>
        <v>0</v>
      </c>
      <c r="AC119" s="200">
        <f t="shared" si="64"/>
        <v>114494.64</v>
      </c>
      <c r="AD119" s="200">
        <f t="shared" si="64"/>
        <v>107142.6</v>
      </c>
      <c r="AE119" s="200">
        <f t="shared" si="64"/>
        <v>7352.04</v>
      </c>
      <c r="AF119" s="241"/>
      <c r="AG119" s="241"/>
      <c r="AH119" s="241"/>
      <c r="AI119" s="173"/>
      <c r="AJ119" s="205">
        <f t="shared" si="50"/>
        <v>515992.6</v>
      </c>
      <c r="AK119" s="206">
        <f t="shared" si="50"/>
        <v>13134.44</v>
      </c>
      <c r="AL119" s="205">
        <f t="shared" si="51"/>
        <v>529127.04</v>
      </c>
    </row>
    <row r="120" spans="1:38" ht="11.4" customHeight="1">
      <c r="A120" s="173">
        <v>10</v>
      </c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6"/>
      <c r="N120" s="234"/>
      <c r="O120" s="225"/>
      <c r="P120" s="226"/>
      <c r="Q120" s="234"/>
      <c r="R120" s="225"/>
      <c r="S120" s="235"/>
      <c r="T120" s="236"/>
      <c r="U120" s="223"/>
      <c r="V120" s="224"/>
      <c r="W120" s="224"/>
      <c r="X120" s="224"/>
      <c r="Y120" s="224"/>
      <c r="Z120" s="224"/>
      <c r="AA120" s="224"/>
      <c r="AB120" s="224"/>
      <c r="AC120" s="215">
        <f t="shared" si="46"/>
        <v>38164.879999999997</v>
      </c>
      <c r="AD120" s="215">
        <v>36311.08</v>
      </c>
      <c r="AE120" s="215">
        <v>1853.8</v>
      </c>
      <c r="AF120" s="215"/>
      <c r="AG120" s="215"/>
      <c r="AH120" s="215"/>
      <c r="AI120" s="173">
        <v>10</v>
      </c>
      <c r="AJ120" s="205"/>
      <c r="AK120" s="206"/>
      <c r="AL120" s="205"/>
    </row>
    <row r="121" spans="1:38" ht="11.4" customHeight="1">
      <c r="A121" s="173">
        <v>11</v>
      </c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6"/>
      <c r="N121" s="234"/>
      <c r="O121" s="225"/>
      <c r="P121" s="226"/>
      <c r="Q121" s="234"/>
      <c r="R121" s="225"/>
      <c r="S121" s="235"/>
      <c r="T121" s="236"/>
      <c r="U121" s="223"/>
      <c r="V121" s="215"/>
      <c r="W121" s="215"/>
      <c r="X121" s="215"/>
      <c r="Y121" s="215"/>
      <c r="Z121" s="215"/>
      <c r="AA121" s="215"/>
      <c r="AB121" s="215"/>
      <c r="AC121" s="215">
        <f t="shared" si="46"/>
        <v>38164.879999999997</v>
      </c>
      <c r="AD121" s="215">
        <v>36613.67</v>
      </c>
      <c r="AE121" s="215">
        <v>1551.21</v>
      </c>
      <c r="AF121" s="215"/>
      <c r="AG121" s="215"/>
      <c r="AH121" s="215"/>
      <c r="AI121" s="237">
        <v>11</v>
      </c>
      <c r="AJ121" s="205"/>
      <c r="AK121" s="206"/>
      <c r="AL121" s="205"/>
    </row>
    <row r="122" spans="1:38" ht="11.4" customHeight="1">
      <c r="A122" s="173">
        <v>12</v>
      </c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6"/>
      <c r="N122" s="234"/>
      <c r="O122" s="225"/>
      <c r="P122" s="226"/>
      <c r="Q122" s="234"/>
      <c r="R122" s="225"/>
      <c r="S122" s="235"/>
      <c r="T122" s="229"/>
      <c r="U122" s="218"/>
      <c r="V122" s="176"/>
      <c r="W122" s="215"/>
      <c r="X122" s="215"/>
      <c r="Y122" s="215"/>
      <c r="Z122" s="215"/>
      <c r="AA122" s="215"/>
      <c r="AB122" s="215"/>
      <c r="AC122" s="215">
        <f t="shared" si="46"/>
        <v>38164.879999999997</v>
      </c>
      <c r="AD122" s="215">
        <v>36918.79</v>
      </c>
      <c r="AE122" s="215">
        <v>1246.0899999999999</v>
      </c>
      <c r="AF122" s="215"/>
      <c r="AG122" s="215"/>
      <c r="AH122" s="215"/>
      <c r="AI122" s="237">
        <v>12</v>
      </c>
      <c r="AJ122" s="205"/>
      <c r="AK122" s="206"/>
      <c r="AL122" s="205"/>
    </row>
    <row r="123" spans="1:38" ht="11.4" customHeight="1">
      <c r="A123" s="173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6"/>
      <c r="N123" s="234"/>
      <c r="O123" s="229"/>
      <c r="P123" s="290"/>
      <c r="Q123" s="234"/>
      <c r="R123" s="225"/>
      <c r="S123" s="235"/>
      <c r="T123" s="229"/>
      <c r="U123" s="291"/>
      <c r="V123" s="215"/>
      <c r="W123" s="292"/>
      <c r="X123" s="292"/>
      <c r="Y123" s="292"/>
      <c r="Z123" s="292"/>
      <c r="AA123" s="292"/>
      <c r="AB123" s="292"/>
      <c r="AC123" s="219">
        <f>SUM(AC120:AC122)</f>
        <v>114494.64</v>
      </c>
      <c r="AD123" s="219">
        <f t="shared" ref="AD123:AE123" si="65">SUM(AD120:AD122)</f>
        <v>109843.54</v>
      </c>
      <c r="AE123" s="219">
        <f t="shared" si="65"/>
        <v>4651.1000000000004</v>
      </c>
      <c r="AF123" s="219"/>
      <c r="AG123" s="219"/>
      <c r="AH123" s="219"/>
      <c r="AI123" s="237"/>
      <c r="AJ123" s="205">
        <f t="shared" si="50"/>
        <v>109843.54</v>
      </c>
      <c r="AK123" s="206">
        <f t="shared" si="50"/>
        <v>4651.1000000000004</v>
      </c>
      <c r="AL123" s="205">
        <f t="shared" si="51"/>
        <v>114494.64</v>
      </c>
    </row>
    <row r="124" spans="1:38" ht="11.4" customHeight="1">
      <c r="A124" s="220" t="s">
        <v>483</v>
      </c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6"/>
      <c r="N124" s="231">
        <f>N111+N115+N119+N123</f>
        <v>229130</v>
      </c>
      <c r="O124" s="231">
        <f t="shared" ref="O124:AE124" si="66">O111+O115+O119+O123</f>
        <v>2868.51</v>
      </c>
      <c r="P124" s="231">
        <f t="shared" si="66"/>
        <v>231998.51</v>
      </c>
      <c r="Q124" s="231">
        <f t="shared" si="66"/>
        <v>0</v>
      </c>
      <c r="R124" s="231">
        <f t="shared" si="66"/>
        <v>0</v>
      </c>
      <c r="S124" s="231">
        <f t="shared" si="66"/>
        <v>0</v>
      </c>
      <c r="T124" s="231">
        <f t="shared" si="66"/>
        <v>1022188</v>
      </c>
      <c r="U124" s="231">
        <f t="shared" si="66"/>
        <v>32697.78</v>
      </c>
      <c r="V124" s="231">
        <f t="shared" si="66"/>
        <v>1054885.78</v>
      </c>
      <c r="W124" s="231">
        <f t="shared" si="66"/>
        <v>0</v>
      </c>
      <c r="X124" s="231">
        <f t="shared" si="66"/>
        <v>0</v>
      </c>
      <c r="Y124" s="231">
        <f t="shared" si="66"/>
        <v>0</v>
      </c>
      <c r="Z124" s="231">
        <f t="shared" si="66"/>
        <v>0</v>
      </c>
      <c r="AA124" s="231">
        <f t="shared" si="66"/>
        <v>0</v>
      </c>
      <c r="AB124" s="231">
        <f t="shared" si="66"/>
        <v>0</v>
      </c>
      <c r="AC124" s="231">
        <f t="shared" si="66"/>
        <v>457978.56</v>
      </c>
      <c r="AD124" s="231">
        <f t="shared" si="66"/>
        <v>423432.51</v>
      </c>
      <c r="AE124" s="231">
        <f t="shared" si="66"/>
        <v>34546.050000000003</v>
      </c>
      <c r="AF124" s="236"/>
      <c r="AG124" s="236"/>
      <c r="AH124" s="236"/>
      <c r="AI124" s="228" t="s">
        <v>483</v>
      </c>
      <c r="AJ124" s="205">
        <f>B124+F124+I124+K124+N124+Q124+T124+W124+Z124+AD124</f>
        <v>1674750.51</v>
      </c>
      <c r="AK124" s="206">
        <f t="shared" ref="AK124" si="67">C124+G124+J124+L124+O124+R124+U124+X124+AA124+AE124</f>
        <v>70112.34</v>
      </c>
      <c r="AL124" s="205">
        <f t="shared" si="51"/>
        <v>1744862.85</v>
      </c>
    </row>
    <row r="125" spans="1:38" ht="11.4" customHeight="1">
      <c r="A125" s="284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6"/>
      <c r="O125" s="286"/>
      <c r="P125" s="286"/>
      <c r="Q125" s="285"/>
      <c r="R125" s="285"/>
      <c r="S125" s="285"/>
      <c r="T125" s="286"/>
      <c r="U125" s="286"/>
      <c r="V125" s="286"/>
      <c r="W125" s="286"/>
      <c r="X125" s="286"/>
      <c r="Y125" s="286"/>
      <c r="Z125" s="286"/>
      <c r="AA125" s="286"/>
      <c r="AB125" s="286"/>
      <c r="AC125" s="287">
        <f t="shared" si="46"/>
        <v>38164.879999999997</v>
      </c>
      <c r="AD125" s="288">
        <v>37226.44</v>
      </c>
      <c r="AE125" s="288">
        <v>938.44</v>
      </c>
      <c r="AF125" s="288"/>
      <c r="AG125" s="288"/>
      <c r="AH125" s="288"/>
      <c r="AI125" s="289" t="s">
        <v>595</v>
      </c>
      <c r="AJ125" s="205">
        <f>AJ111+AJ115+AJ119+AJ123</f>
        <v>1674750.51</v>
      </c>
      <c r="AK125" s="205">
        <f t="shared" ref="AK125:AL125" si="68">AK111+AK115+AK119+AK123</f>
        <v>70112.34</v>
      </c>
      <c r="AL125" s="205">
        <f t="shared" si="68"/>
        <v>1744862.85</v>
      </c>
    </row>
    <row r="126" spans="1:38" ht="11.4" customHeight="1">
      <c r="A126" s="284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6"/>
      <c r="O126" s="286"/>
      <c r="P126" s="286"/>
      <c r="Q126" s="285"/>
      <c r="R126" s="285"/>
      <c r="S126" s="285"/>
      <c r="T126" s="286"/>
      <c r="U126" s="286"/>
      <c r="V126" s="286"/>
      <c r="W126" s="286"/>
      <c r="X126" s="286"/>
      <c r="Y126" s="286"/>
      <c r="Z126" s="286"/>
      <c r="AA126" s="286"/>
      <c r="AB126" s="286"/>
      <c r="AC126" s="288">
        <f t="shared" si="46"/>
        <v>38164.879999999997</v>
      </c>
      <c r="AD126" s="288">
        <v>37536.660000000003</v>
      </c>
      <c r="AE126" s="288">
        <v>628.22</v>
      </c>
      <c r="AF126" s="288"/>
      <c r="AG126" s="288"/>
      <c r="AH126" s="288"/>
      <c r="AI126" s="289">
        <v>2</v>
      </c>
      <c r="AJ126" s="205"/>
      <c r="AK126" s="205"/>
      <c r="AL126" s="205"/>
    </row>
    <row r="127" spans="1:38" ht="11.4" customHeight="1">
      <c r="A127" s="284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6"/>
      <c r="O127" s="286"/>
      <c r="P127" s="286"/>
      <c r="Q127" s="285"/>
      <c r="R127" s="285"/>
      <c r="S127" s="285"/>
      <c r="T127" s="286"/>
      <c r="U127" s="286"/>
      <c r="V127" s="286"/>
      <c r="W127" s="286"/>
      <c r="X127" s="286"/>
      <c r="Y127" s="286"/>
      <c r="Z127" s="286"/>
      <c r="AA127" s="286"/>
      <c r="AB127" s="286"/>
      <c r="AC127" s="288">
        <f t="shared" si="46"/>
        <v>38164.629999999997</v>
      </c>
      <c r="AD127" s="288">
        <v>37849.22</v>
      </c>
      <c r="AE127" s="288">
        <v>315.41000000000003</v>
      </c>
      <c r="AF127" s="288"/>
      <c r="AG127" s="288"/>
      <c r="AH127" s="288"/>
      <c r="AI127" s="289">
        <v>3</v>
      </c>
      <c r="AJ127" s="205"/>
      <c r="AK127" s="205"/>
      <c r="AL127" s="205"/>
    </row>
    <row r="128" spans="1:38" ht="11.4" customHeight="1">
      <c r="A128" s="284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6"/>
      <c r="O128" s="286"/>
      <c r="P128" s="286"/>
      <c r="Q128" s="285"/>
      <c r="R128" s="285"/>
      <c r="S128" s="285"/>
      <c r="T128" s="286"/>
      <c r="U128" s="286"/>
      <c r="V128" s="286"/>
      <c r="W128" s="286"/>
      <c r="X128" s="286"/>
      <c r="Y128" s="286"/>
      <c r="Z128" s="286"/>
      <c r="AA128" s="286"/>
      <c r="AB128" s="286"/>
      <c r="AC128" s="295">
        <f>SUM(AC125:AC127)</f>
        <v>114494.39</v>
      </c>
      <c r="AD128" s="295">
        <f>SUM(AD125:AD127)</f>
        <v>112612.32</v>
      </c>
      <c r="AE128" s="295">
        <f>SUM(AE125:AE127)</f>
        <v>1882.07</v>
      </c>
      <c r="AF128" s="295"/>
      <c r="AG128" s="295"/>
      <c r="AH128" s="295"/>
      <c r="AI128" s="284"/>
      <c r="AJ128" s="205">
        <f>AD128</f>
        <v>112612.32</v>
      </c>
      <c r="AK128" s="205">
        <f>AE128</f>
        <v>1882.07</v>
      </c>
      <c r="AL128" s="205">
        <f>AC128</f>
        <v>114494.39</v>
      </c>
    </row>
    <row r="129" spans="1:38" ht="11.4" customHeight="1">
      <c r="A129" s="284"/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6"/>
      <c r="O129" s="286"/>
      <c r="P129" s="286"/>
      <c r="Q129" s="285"/>
      <c r="R129" s="285"/>
      <c r="S129" s="285"/>
      <c r="T129" s="286"/>
      <c r="U129" s="286"/>
      <c r="V129" s="286"/>
      <c r="W129" s="286"/>
      <c r="X129" s="286"/>
      <c r="Y129" s="286"/>
      <c r="Z129" s="286"/>
      <c r="AA129" s="286"/>
      <c r="AB129" s="286"/>
      <c r="AC129" s="286"/>
      <c r="AD129" s="286"/>
      <c r="AE129" s="286"/>
      <c r="AF129" s="286"/>
      <c r="AG129" s="286"/>
      <c r="AH129" s="286"/>
      <c r="AI129" s="284"/>
      <c r="AJ129" s="205"/>
      <c r="AK129" s="205"/>
      <c r="AL129" s="205"/>
    </row>
    <row r="130" spans="1:38" ht="11.4" customHeight="1">
      <c r="A130" s="284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6"/>
      <c r="O130" s="286"/>
      <c r="P130" s="286"/>
      <c r="Q130" s="285"/>
      <c r="R130" s="285"/>
      <c r="S130" s="285"/>
      <c r="T130" s="286"/>
      <c r="U130" s="286"/>
      <c r="V130" s="286"/>
      <c r="W130" s="286"/>
      <c r="X130" s="286"/>
      <c r="Y130" s="286"/>
      <c r="Z130" s="286"/>
      <c r="AA130" s="286"/>
      <c r="AB130" s="286"/>
      <c r="AC130" s="286"/>
      <c r="AD130" s="286"/>
      <c r="AE130" s="286"/>
      <c r="AF130" s="286"/>
      <c r="AG130" s="286"/>
      <c r="AH130" s="286"/>
      <c r="AI130" s="284"/>
      <c r="AJ130" s="205"/>
      <c r="AK130" s="205"/>
      <c r="AL130" s="205"/>
    </row>
    <row r="134" spans="1:38" ht="31.5" customHeight="1">
      <c r="N134" s="770" t="s">
        <v>356</v>
      </c>
      <c r="O134" s="770"/>
      <c r="P134" s="769" t="s">
        <v>490</v>
      </c>
      <c r="Q134" s="769"/>
      <c r="R134" s="769"/>
      <c r="S134" s="242"/>
      <c r="T134" s="151" t="s">
        <v>486</v>
      </c>
      <c r="U134" s="151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</row>
    <row r="135" spans="1:38" ht="15.6">
      <c r="N135" s="422" t="s">
        <v>489</v>
      </c>
      <c r="O135" s="150"/>
      <c r="P135" s="606" t="s">
        <v>69</v>
      </c>
      <c r="Q135" s="606"/>
      <c r="R135" s="606"/>
      <c r="S135" s="606" t="s">
        <v>485</v>
      </c>
      <c r="T135" s="606"/>
      <c r="U135" s="606"/>
      <c r="V135" s="606"/>
      <c r="W135" s="422"/>
      <c r="X135" s="422"/>
      <c r="Y135" s="422"/>
      <c r="Z135" s="422"/>
      <c r="AA135" s="422"/>
      <c r="AB135" s="422"/>
      <c r="AC135" s="422"/>
      <c r="AD135" s="422"/>
      <c r="AE135" s="422"/>
      <c r="AF135" s="422"/>
      <c r="AG135" s="422"/>
      <c r="AH135" s="422"/>
    </row>
    <row r="136" spans="1:38" ht="15.6">
      <c r="S136" s="606"/>
      <c r="T136" s="606"/>
      <c r="U136" s="606"/>
      <c r="V136" s="606"/>
      <c r="W136" s="422"/>
      <c r="X136" s="422"/>
      <c r="Y136" s="422"/>
      <c r="Z136" s="422"/>
      <c r="AA136" s="422"/>
      <c r="AB136" s="422"/>
      <c r="AC136" s="422"/>
      <c r="AD136" s="422"/>
      <c r="AE136" s="422"/>
      <c r="AF136" s="422"/>
      <c r="AG136" s="422"/>
      <c r="AH136" s="422"/>
    </row>
  </sheetData>
  <sheetProtection algorithmName="SHA-512" hashValue="a/8Q6YfQd1Q/7ll7W0Im4AVWnz/mAEYLwIE/o1GxhjFml56VCthmFuMgrln+6/dQgMcG75wMtbVDuOH2n4PnKg==" saltValue="cCy0FQNOhPdSIEsQPUz7uA==" spinCount="100000" sheet="1" objects="1" scenarios="1" selectLockedCells="1" selectUnlockedCells="1"/>
  <mergeCells count="18">
    <mergeCell ref="AJ2:AL2"/>
    <mergeCell ref="A2:A3"/>
    <mergeCell ref="B2:D2"/>
    <mergeCell ref="H2:J2"/>
    <mergeCell ref="K2:M2"/>
    <mergeCell ref="N2:P2"/>
    <mergeCell ref="Q2:S2"/>
    <mergeCell ref="W2:Y2"/>
    <mergeCell ref="Z2:AB2"/>
    <mergeCell ref="AC2:AE2"/>
    <mergeCell ref="AF2:AH2"/>
    <mergeCell ref="P134:R134"/>
    <mergeCell ref="P135:R135"/>
    <mergeCell ref="S135:V136"/>
    <mergeCell ref="N134:O134"/>
    <mergeCell ref="A1:M1"/>
    <mergeCell ref="T2:V2"/>
    <mergeCell ref="E2:G2"/>
  </mergeCells>
  <pageMargins left="0.15748031496062992" right="0.17" top="0.17" bottom="0.16" header="0.17" footer="0.1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1"/>
  <sheetViews>
    <sheetView view="pageBreakPreview" topLeftCell="A10" zoomScale="84" zoomScaleNormal="100" zoomScaleSheetLayoutView="84" workbookViewId="0">
      <selection activeCell="A25" sqref="A25"/>
    </sheetView>
  </sheetViews>
  <sheetFormatPr defaultColWidth="9.109375" defaultRowHeight="15.6"/>
  <cols>
    <col min="1" max="1" width="28.5546875" style="384" customWidth="1"/>
    <col min="2" max="2" width="10.88671875" style="411" customWidth="1"/>
    <col min="3" max="3" width="12.6640625" style="384" customWidth="1"/>
    <col min="4" max="4" width="10.6640625" style="384" customWidth="1"/>
    <col min="5" max="5" width="8.88671875" style="384" customWidth="1"/>
    <col min="6" max="6" width="10.5546875" style="384" customWidth="1"/>
    <col min="7" max="7" width="9.109375" style="384"/>
    <col min="8" max="8" width="9.6640625" style="384" customWidth="1"/>
    <col min="9" max="16384" width="9.109375" style="384"/>
  </cols>
  <sheetData>
    <row r="1" spans="1:9">
      <c r="A1" s="794" t="s">
        <v>354</v>
      </c>
      <c r="B1" s="794"/>
      <c r="C1" s="794"/>
      <c r="D1" s="794"/>
      <c r="E1" s="794"/>
      <c r="F1" s="794"/>
      <c r="G1" s="794"/>
      <c r="H1" s="794"/>
    </row>
    <row r="2" spans="1:9" ht="17.399999999999999">
      <c r="A2" s="795" t="s">
        <v>630</v>
      </c>
      <c r="B2" s="795"/>
      <c r="C2" s="795"/>
      <c r="D2" s="795"/>
      <c r="E2" s="795"/>
      <c r="F2" s="795"/>
      <c r="G2" s="795"/>
      <c r="H2" s="795"/>
    </row>
    <row r="3" spans="1:9">
      <c r="A3" s="796" t="s">
        <v>403</v>
      </c>
      <c r="B3" s="796"/>
      <c r="C3" s="796"/>
      <c r="D3" s="796"/>
      <c r="E3" s="796"/>
      <c r="F3" s="796"/>
      <c r="G3" s="796"/>
      <c r="H3" s="796"/>
    </row>
    <row r="4" spans="1:9" ht="15.75" customHeight="1">
      <c r="A4" s="791" t="s">
        <v>631</v>
      </c>
      <c r="B4" s="791" t="s">
        <v>717</v>
      </c>
      <c r="C4" s="791" t="s">
        <v>718</v>
      </c>
      <c r="D4" s="791" t="s">
        <v>719</v>
      </c>
      <c r="E4" s="791" t="s">
        <v>632</v>
      </c>
      <c r="F4" s="791"/>
      <c r="G4" s="791"/>
      <c r="H4" s="791"/>
    </row>
    <row r="5" spans="1:9" ht="12.75" customHeight="1">
      <c r="A5" s="791"/>
      <c r="B5" s="791"/>
      <c r="C5" s="791"/>
      <c r="D5" s="791"/>
      <c r="E5" s="792" t="s">
        <v>720</v>
      </c>
      <c r="F5" s="792"/>
      <c r="G5" s="792" t="s">
        <v>721</v>
      </c>
      <c r="H5" s="792"/>
    </row>
    <row r="6" spans="1:9" ht="12.75" customHeight="1">
      <c r="A6" s="791"/>
      <c r="B6" s="791"/>
      <c r="C6" s="791"/>
      <c r="D6" s="791"/>
      <c r="E6" s="792"/>
      <c r="F6" s="792"/>
      <c r="G6" s="792"/>
      <c r="H6" s="792"/>
    </row>
    <row r="7" spans="1:9" ht="7.5" customHeight="1">
      <c r="A7" s="791"/>
      <c r="B7" s="791"/>
      <c r="C7" s="791"/>
      <c r="D7" s="791"/>
      <c r="E7" s="792"/>
      <c r="F7" s="792"/>
      <c r="G7" s="792"/>
      <c r="H7" s="792"/>
    </row>
    <row r="8" spans="1:9">
      <c r="A8" s="791"/>
      <c r="B8" s="791"/>
      <c r="C8" s="791"/>
      <c r="D8" s="791"/>
      <c r="E8" s="423" t="s">
        <v>633</v>
      </c>
      <c r="F8" s="423" t="s">
        <v>634</v>
      </c>
      <c r="G8" s="423" t="s">
        <v>633</v>
      </c>
      <c r="H8" s="423" t="s">
        <v>634</v>
      </c>
    </row>
    <row r="9" spans="1:9" ht="34.5" customHeight="1">
      <c r="A9" s="385" t="s">
        <v>635</v>
      </c>
      <c r="B9" s="386">
        <f>SUM(B21:B29)</f>
        <v>101539</v>
      </c>
      <c r="C9" s="386">
        <f t="shared" ref="C9:D9" si="0">SUM(C21:C29)</f>
        <v>120280</v>
      </c>
      <c r="D9" s="386">
        <f t="shared" si="0"/>
        <v>140040</v>
      </c>
      <c r="E9" s="387">
        <f>D9-B9</f>
        <v>38501</v>
      </c>
      <c r="F9" s="388">
        <f>D9/B9*100-100</f>
        <v>37.9</v>
      </c>
      <c r="G9" s="387">
        <f>D9-C9</f>
        <v>19760</v>
      </c>
      <c r="H9" s="388">
        <f>D9/C9*100-100</f>
        <v>16.399999999999999</v>
      </c>
    </row>
    <row r="10" spans="1:9" ht="31.5" customHeight="1">
      <c r="A10" s="389" t="str">
        <f>'6.1. Інша інфо_1'!A33</f>
        <v>Вивезення твердих побутових відходів</v>
      </c>
      <c r="B10" s="412">
        <f>'6.1. Інша інфо_1'!D33</f>
        <v>66125</v>
      </c>
      <c r="C10" s="391">
        <f>'6.1. Інша інфо_1'!G33</f>
        <v>78640</v>
      </c>
      <c r="D10" s="391">
        <f>'6.1. Інша інфо_1'!M33</f>
        <v>93508</v>
      </c>
      <c r="E10" s="392">
        <f t="shared" ref="E10:E29" si="1">D10-B10</f>
        <v>27383</v>
      </c>
      <c r="F10" s="393">
        <f t="shared" ref="F10:F29" si="2">D10/B10*100-100</f>
        <v>41.4</v>
      </c>
      <c r="G10" s="392">
        <f t="shared" ref="G10:G29" si="3">D10-C10</f>
        <v>14868</v>
      </c>
      <c r="H10" s="393">
        <f t="shared" ref="H10:H29" si="4">D10/C10*100-100</f>
        <v>18.899999999999999</v>
      </c>
      <c r="I10" s="394"/>
    </row>
    <row r="11" spans="1:9" ht="34.5" customHeight="1">
      <c r="A11" s="389" t="str">
        <f>'6.1. Інша інфо_1'!A34</f>
        <v>Вивезення великогабаритних побутових відходів</v>
      </c>
      <c r="B11" s="412">
        <f>'6.1. Інша інфо_1'!D34</f>
        <v>7458</v>
      </c>
      <c r="C11" s="391">
        <f>'6.1. Інша інфо_1'!G34</f>
        <v>8011</v>
      </c>
      <c r="D11" s="391">
        <f>'6.1. Інша інфо_1'!M34</f>
        <v>9016</v>
      </c>
      <c r="E11" s="392">
        <f t="shared" si="1"/>
        <v>1558</v>
      </c>
      <c r="F11" s="393">
        <f t="shared" si="2"/>
        <v>20.9</v>
      </c>
      <c r="G11" s="392">
        <f t="shared" si="3"/>
        <v>1005</v>
      </c>
      <c r="H11" s="393">
        <f t="shared" si="4"/>
        <v>12.5</v>
      </c>
      <c r="I11" s="394"/>
    </row>
    <row r="12" spans="1:9" ht="30.75" customHeight="1">
      <c r="A12" s="389" t="str">
        <f>'6.1. Інша інфо_1'!A35</f>
        <v>Захоронення побутових відходів</v>
      </c>
      <c r="B12" s="412">
        <f>'6.1. Інша інфо_1'!D35</f>
        <v>17107</v>
      </c>
      <c r="C12" s="391">
        <f>'6.1. Інша інфо_1'!G35</f>
        <v>23867</v>
      </c>
      <c r="D12" s="391">
        <f>'6.1. Інша інфо_1'!M35</f>
        <v>28412</v>
      </c>
      <c r="E12" s="392">
        <f t="shared" si="1"/>
        <v>11305</v>
      </c>
      <c r="F12" s="393">
        <f t="shared" si="2"/>
        <v>66.099999999999994</v>
      </c>
      <c r="G12" s="392">
        <f t="shared" si="3"/>
        <v>4545</v>
      </c>
      <c r="H12" s="393">
        <f t="shared" si="4"/>
        <v>19</v>
      </c>
      <c r="I12" s="394"/>
    </row>
    <row r="13" spans="1:9" ht="18" customHeight="1">
      <c r="A13" s="389" t="str">
        <f>'6.1. Інша інфо_1'!A36</f>
        <v>Благоустрій</v>
      </c>
      <c r="B13" s="412">
        <f>'6.1. Інша інфо_1'!D36</f>
        <v>5023</v>
      </c>
      <c r="C13" s="391">
        <f>'6.1. Інша інфо_1'!G36</f>
        <v>5749</v>
      </c>
      <c r="D13" s="391">
        <f>'6.1. Інша інфо_1'!M36</f>
        <v>5749</v>
      </c>
      <c r="E13" s="392">
        <f t="shared" si="1"/>
        <v>726</v>
      </c>
      <c r="F13" s="393">
        <f t="shared" si="2"/>
        <v>14.5</v>
      </c>
      <c r="G13" s="392">
        <f t="shared" si="3"/>
        <v>0</v>
      </c>
      <c r="H13" s="393">
        <f t="shared" si="4"/>
        <v>0</v>
      </c>
      <c r="I13" s="394"/>
    </row>
    <row r="14" spans="1:9" ht="18" customHeight="1">
      <c r="A14" s="389" t="str">
        <f>'6.1. Інша інфо_1'!A37</f>
        <v>Комунальні послуги</v>
      </c>
      <c r="B14" s="412">
        <f>'6.1. Інша інфо_1'!D37</f>
        <v>222</v>
      </c>
      <c r="C14" s="391">
        <f>'6.1. Інша інфо_1'!G37</f>
        <v>225</v>
      </c>
      <c r="D14" s="391">
        <f>'6.1. Інша інфо_1'!M37</f>
        <v>88</v>
      </c>
      <c r="E14" s="392">
        <f t="shared" si="1"/>
        <v>-134</v>
      </c>
      <c r="F14" s="393">
        <f t="shared" si="2"/>
        <v>-60.4</v>
      </c>
      <c r="G14" s="392">
        <f t="shared" si="3"/>
        <v>-137</v>
      </c>
      <c r="H14" s="393">
        <f t="shared" si="4"/>
        <v>-60.9</v>
      </c>
      <c r="I14" s="394"/>
    </row>
    <row r="15" spans="1:9" ht="47.25" customHeight="1">
      <c r="A15" s="389" t="str">
        <f>'6.1. Інша інфо_1'!A38</f>
        <v>Технічний нагляд (одержувачі бюджетних коштів)</v>
      </c>
      <c r="B15" s="412">
        <f>'6.1. Інша інфо_1'!D38</f>
        <v>575</v>
      </c>
      <c r="C15" s="391">
        <f>'6.1. Інша інфо_1'!G38</f>
        <v>577</v>
      </c>
      <c r="D15" s="391">
        <f>'6.1. Інша інфо_1'!M38</f>
        <v>642</v>
      </c>
      <c r="E15" s="392">
        <f t="shared" si="1"/>
        <v>67</v>
      </c>
      <c r="F15" s="393">
        <f t="shared" si="2"/>
        <v>11.7</v>
      </c>
      <c r="G15" s="392">
        <f t="shared" si="3"/>
        <v>65</v>
      </c>
      <c r="H15" s="393">
        <f t="shared" si="4"/>
        <v>11.3</v>
      </c>
      <c r="I15" s="394"/>
    </row>
    <row r="16" spans="1:9" ht="20.25" customHeight="1">
      <c r="A16" s="389" t="str">
        <f>'6.1. Інша інфо_1'!A39</f>
        <v>Технічний нагляд</v>
      </c>
      <c r="B16" s="412">
        <f>'6.1. Інша інфо_1'!D39</f>
        <v>1685</v>
      </c>
      <c r="C16" s="391">
        <f>'6.1. Інша інфо_1'!G39</f>
        <v>250</v>
      </c>
      <c r="D16" s="391">
        <f>'6.1. Інша інфо_1'!M39</f>
        <v>252</v>
      </c>
      <c r="E16" s="392">
        <f t="shared" si="1"/>
        <v>-1433</v>
      </c>
      <c r="F16" s="393">
        <f t="shared" si="2"/>
        <v>-85</v>
      </c>
      <c r="G16" s="392">
        <f t="shared" si="3"/>
        <v>2</v>
      </c>
      <c r="H16" s="393">
        <f t="shared" si="4"/>
        <v>0.8</v>
      </c>
      <c r="I16" s="394"/>
    </row>
    <row r="17" spans="1:10" ht="18" customHeight="1">
      <c r="A17" s="389" t="str">
        <f>'6.1. Інша інфо_1'!A40</f>
        <v>Передача майнових прав</v>
      </c>
      <c r="B17" s="412">
        <f>'6.1. Інша інфо_1'!D40</f>
        <v>1610</v>
      </c>
      <c r="C17" s="391">
        <f>'6.1. Інша інфо_1'!G40</f>
        <v>1403</v>
      </c>
      <c r="D17" s="391">
        <f>'6.1. Інша інфо_1'!M40</f>
        <v>1052</v>
      </c>
      <c r="E17" s="392">
        <f t="shared" si="1"/>
        <v>-558</v>
      </c>
      <c r="F17" s="393">
        <f t="shared" si="2"/>
        <v>-34.700000000000003</v>
      </c>
      <c r="G17" s="392">
        <f t="shared" si="3"/>
        <v>-351</v>
      </c>
      <c r="H17" s="393">
        <f t="shared" si="4"/>
        <v>-25</v>
      </c>
      <c r="I17" s="394"/>
    </row>
    <row r="18" spans="1:10" ht="19.5" customHeight="1">
      <c r="A18" s="389" t="str">
        <f>'6.1. Інша інфо_1'!A41</f>
        <v>Робота сортувальної лінії</v>
      </c>
      <c r="B18" s="412">
        <f>'6.1. Інша інфо_1'!D41</f>
        <v>882</v>
      </c>
      <c r="C18" s="391">
        <f>'6.1. Інша інфо_1'!G41</f>
        <v>990</v>
      </c>
      <c r="D18" s="391">
        <f>'6.1. Інша інфо_1'!M41</f>
        <v>768</v>
      </c>
      <c r="E18" s="392">
        <f t="shared" si="1"/>
        <v>-114</v>
      </c>
      <c r="F18" s="393">
        <f t="shared" si="2"/>
        <v>-12.9</v>
      </c>
      <c r="G18" s="392">
        <f t="shared" si="3"/>
        <v>-222</v>
      </c>
      <c r="H18" s="393">
        <f t="shared" si="4"/>
        <v>-22.4</v>
      </c>
      <c r="I18" s="394"/>
    </row>
    <row r="19" spans="1:10" ht="20.25" customHeight="1">
      <c r="A19" s="389" t="str">
        <f>'6.1. Інша інфо_1'!A42</f>
        <v>Продаж товару</v>
      </c>
      <c r="B19" s="412">
        <f>'6.1. Інша інфо_1'!D42</f>
        <v>8</v>
      </c>
      <c r="C19" s="391">
        <f>'6.1. Інша інфо_1'!G42</f>
        <v>8</v>
      </c>
      <c r="D19" s="391">
        <f>'6.1. Інша інфо_1'!M42</f>
        <v>16</v>
      </c>
      <c r="E19" s="392">
        <f t="shared" si="1"/>
        <v>8</v>
      </c>
      <c r="F19" s="393">
        <f t="shared" si="2"/>
        <v>100</v>
      </c>
      <c r="G19" s="392">
        <f t="shared" si="3"/>
        <v>8</v>
      </c>
      <c r="H19" s="393">
        <f t="shared" si="4"/>
        <v>100</v>
      </c>
      <c r="I19" s="394"/>
    </row>
    <row r="20" spans="1:10" ht="19.5" customHeight="1">
      <c r="A20" s="389" t="str">
        <f>'6.1. Інша інфо_1'!A43</f>
        <v>Інші види діяльності</v>
      </c>
      <c r="B20" s="412">
        <f>'6.1. Інша інфо_1'!D43</f>
        <v>40</v>
      </c>
      <c r="C20" s="391">
        <f>'6.1. Інша інфо_1'!G43</f>
        <v>32</v>
      </c>
      <c r="D20" s="391">
        <f>'6.1. Інша інфо_1'!M43</f>
        <v>9</v>
      </c>
      <c r="E20" s="392">
        <f t="shared" si="1"/>
        <v>-31</v>
      </c>
      <c r="F20" s="393">
        <f t="shared" si="2"/>
        <v>-77.5</v>
      </c>
      <c r="G20" s="392">
        <f t="shared" si="3"/>
        <v>-23</v>
      </c>
      <c r="H20" s="393">
        <f t="shared" si="4"/>
        <v>-71.900000000000006</v>
      </c>
      <c r="I20" s="394"/>
    </row>
    <row r="21" spans="1:10" ht="31.5" customHeight="1">
      <c r="A21" s="396" t="s">
        <v>716</v>
      </c>
      <c r="B21" s="515">
        <f>SUM(B10:B20)</f>
        <v>100735</v>
      </c>
      <c r="C21" s="515">
        <f>SUM(C10:C20)</f>
        <v>119752</v>
      </c>
      <c r="D21" s="515">
        <f>SUM(D10:D20)</f>
        <v>139512</v>
      </c>
      <c r="E21" s="392">
        <f t="shared" si="1"/>
        <v>38777</v>
      </c>
      <c r="F21" s="393">
        <f t="shared" si="2"/>
        <v>38.5</v>
      </c>
      <c r="G21" s="392">
        <f t="shared" si="3"/>
        <v>19760</v>
      </c>
      <c r="H21" s="393">
        <f t="shared" si="4"/>
        <v>16.5</v>
      </c>
      <c r="I21" s="394"/>
      <c r="J21" s="394"/>
    </row>
    <row r="22" spans="1:10" ht="75.75" customHeight="1">
      <c r="A22" s="389" t="s">
        <v>636</v>
      </c>
      <c r="B22" s="390">
        <v>169</v>
      </c>
      <c r="C22" s="391">
        <v>0</v>
      </c>
      <c r="D22" s="391">
        <v>0</v>
      </c>
      <c r="E22" s="392">
        <f t="shared" si="1"/>
        <v>-169</v>
      </c>
      <c r="F22" s="393">
        <f t="shared" si="2"/>
        <v>-100</v>
      </c>
      <c r="G22" s="392">
        <f t="shared" si="3"/>
        <v>0</v>
      </c>
      <c r="H22" s="393" t="e">
        <f t="shared" si="4"/>
        <v>#DIV/0!</v>
      </c>
    </row>
    <row r="23" spans="1:10" ht="30" hidden="1" customHeight="1">
      <c r="A23" s="389" t="s">
        <v>637</v>
      </c>
      <c r="B23" s="390"/>
      <c r="C23" s="391">
        <v>0</v>
      </c>
      <c r="D23" s="391">
        <v>0</v>
      </c>
      <c r="E23" s="392">
        <f t="shared" si="1"/>
        <v>0</v>
      </c>
      <c r="F23" s="393" t="e">
        <f t="shared" si="2"/>
        <v>#DIV/0!</v>
      </c>
      <c r="G23" s="392">
        <f t="shared" si="3"/>
        <v>0</v>
      </c>
      <c r="H23" s="393" t="e">
        <f t="shared" si="4"/>
        <v>#DIV/0!</v>
      </c>
    </row>
    <row r="24" spans="1:10" ht="33.75" customHeight="1">
      <c r="A24" s="395" t="s">
        <v>638</v>
      </c>
      <c r="B24" s="390">
        <v>65</v>
      </c>
      <c r="C24" s="391">
        <v>0</v>
      </c>
      <c r="D24" s="391">
        <v>0</v>
      </c>
      <c r="E24" s="392">
        <f t="shared" si="1"/>
        <v>-65</v>
      </c>
      <c r="F24" s="393">
        <f t="shared" si="2"/>
        <v>-100</v>
      </c>
      <c r="G24" s="392">
        <f t="shared" si="3"/>
        <v>0</v>
      </c>
      <c r="H24" s="393" t="e">
        <f t="shared" si="4"/>
        <v>#DIV/0!</v>
      </c>
    </row>
    <row r="25" spans="1:10" ht="28.5" customHeight="1">
      <c r="A25" s="389" t="s">
        <v>726</v>
      </c>
      <c r="B25" s="390">
        <v>29</v>
      </c>
      <c r="C25" s="391">
        <v>0</v>
      </c>
      <c r="D25" s="391">
        <v>0</v>
      </c>
      <c r="E25" s="392">
        <f t="shared" si="1"/>
        <v>-29</v>
      </c>
      <c r="F25" s="393">
        <f t="shared" si="2"/>
        <v>-100</v>
      </c>
      <c r="G25" s="392">
        <f t="shared" si="3"/>
        <v>0</v>
      </c>
      <c r="H25" s="393" t="e">
        <f t="shared" si="4"/>
        <v>#DIV/0!</v>
      </c>
    </row>
    <row r="26" spans="1:10" ht="30" customHeight="1">
      <c r="A26" s="389" t="s">
        <v>639</v>
      </c>
      <c r="B26" s="390">
        <v>6</v>
      </c>
      <c r="C26" s="391">
        <v>0</v>
      </c>
      <c r="D26" s="391">
        <v>0</v>
      </c>
      <c r="E26" s="392">
        <f t="shared" si="1"/>
        <v>-6</v>
      </c>
      <c r="F26" s="393">
        <f t="shared" si="2"/>
        <v>-100</v>
      </c>
      <c r="G26" s="392">
        <f t="shared" si="3"/>
        <v>0</v>
      </c>
      <c r="H26" s="393" t="e">
        <f t="shared" si="4"/>
        <v>#DIV/0!</v>
      </c>
    </row>
    <row r="27" spans="1:10" ht="48" customHeight="1">
      <c r="A27" s="389" t="s">
        <v>640</v>
      </c>
      <c r="B27" s="390">
        <v>7</v>
      </c>
      <c r="C27" s="391">
        <v>0</v>
      </c>
      <c r="D27" s="391">
        <v>0</v>
      </c>
      <c r="E27" s="392">
        <f t="shared" si="1"/>
        <v>-7</v>
      </c>
      <c r="F27" s="393">
        <f t="shared" si="2"/>
        <v>-100</v>
      </c>
      <c r="G27" s="392">
        <f t="shared" si="3"/>
        <v>0</v>
      </c>
      <c r="H27" s="393" t="e">
        <f t="shared" si="4"/>
        <v>#DIV/0!</v>
      </c>
    </row>
    <row r="28" spans="1:10" ht="0.75" customHeight="1">
      <c r="A28" s="389" t="s">
        <v>660</v>
      </c>
      <c r="B28" s="390"/>
      <c r="C28" s="391">
        <v>0</v>
      </c>
      <c r="D28" s="391">
        <v>0</v>
      </c>
      <c r="E28" s="392">
        <f t="shared" si="1"/>
        <v>0</v>
      </c>
      <c r="F28" s="393" t="e">
        <f t="shared" si="2"/>
        <v>#DIV/0!</v>
      </c>
      <c r="G28" s="392">
        <f t="shared" si="3"/>
        <v>0</v>
      </c>
      <c r="H28" s="393" t="e">
        <f t="shared" si="4"/>
        <v>#DIV/0!</v>
      </c>
    </row>
    <row r="29" spans="1:10" ht="45" customHeight="1">
      <c r="A29" s="389" t="s">
        <v>641</v>
      </c>
      <c r="B29" s="390">
        <v>528</v>
      </c>
      <c r="C29" s="391">
        <v>528</v>
      </c>
      <c r="D29" s="391">
        <v>528</v>
      </c>
      <c r="E29" s="392">
        <f t="shared" si="1"/>
        <v>0</v>
      </c>
      <c r="F29" s="393">
        <f t="shared" si="2"/>
        <v>0</v>
      </c>
      <c r="G29" s="392">
        <f t="shared" si="3"/>
        <v>0</v>
      </c>
      <c r="H29" s="393">
        <f t="shared" si="4"/>
        <v>0</v>
      </c>
    </row>
    <row r="30" spans="1:10" ht="197.25" customHeight="1">
      <c r="A30" s="789" t="s">
        <v>642</v>
      </c>
      <c r="B30" s="789"/>
      <c r="C30" s="789"/>
      <c r="D30" s="789"/>
      <c r="E30" s="789"/>
      <c r="F30" s="789"/>
      <c r="G30" s="789"/>
      <c r="H30" s="789"/>
    </row>
    <row r="31" spans="1:10" ht="18" customHeight="1">
      <c r="A31" s="797" t="s">
        <v>643</v>
      </c>
      <c r="B31" s="797"/>
      <c r="C31" s="797"/>
      <c r="D31" s="797"/>
      <c r="E31" s="797"/>
      <c r="F31" s="797"/>
      <c r="G31" s="797"/>
      <c r="H31" s="797"/>
    </row>
    <row r="32" spans="1:10">
      <c r="A32" s="790" t="s">
        <v>403</v>
      </c>
      <c r="B32" s="790"/>
      <c r="C32" s="790"/>
      <c r="D32" s="790"/>
      <c r="E32" s="790"/>
      <c r="F32" s="790"/>
      <c r="G32" s="790"/>
      <c r="H32" s="790"/>
    </row>
    <row r="33" spans="1:11" ht="15.75" customHeight="1">
      <c r="A33" s="791" t="s">
        <v>631</v>
      </c>
      <c r="B33" s="791" t="s">
        <v>717</v>
      </c>
      <c r="C33" s="791" t="s">
        <v>718</v>
      </c>
      <c r="D33" s="791" t="s">
        <v>719</v>
      </c>
      <c r="E33" s="791" t="s">
        <v>632</v>
      </c>
      <c r="F33" s="791"/>
      <c r="G33" s="791"/>
      <c r="H33" s="791"/>
    </row>
    <row r="34" spans="1:11" ht="12.75" customHeight="1">
      <c r="A34" s="791"/>
      <c r="B34" s="791"/>
      <c r="C34" s="791"/>
      <c r="D34" s="791"/>
      <c r="E34" s="792" t="s">
        <v>720</v>
      </c>
      <c r="F34" s="792"/>
      <c r="G34" s="792" t="s">
        <v>721</v>
      </c>
      <c r="H34" s="792"/>
    </row>
    <row r="35" spans="1:11" ht="12.75" customHeight="1">
      <c r="A35" s="791"/>
      <c r="B35" s="791"/>
      <c r="C35" s="791"/>
      <c r="D35" s="791"/>
      <c r="E35" s="792"/>
      <c r="F35" s="792"/>
      <c r="G35" s="792"/>
      <c r="H35" s="792"/>
    </row>
    <row r="36" spans="1:11" ht="12" customHeight="1">
      <c r="A36" s="791"/>
      <c r="B36" s="791"/>
      <c r="C36" s="791"/>
      <c r="D36" s="791"/>
      <c r="E36" s="792"/>
      <c r="F36" s="792"/>
      <c r="G36" s="792"/>
      <c r="H36" s="792"/>
    </row>
    <row r="37" spans="1:11">
      <c r="A37" s="791"/>
      <c r="B37" s="791"/>
      <c r="C37" s="791"/>
      <c r="D37" s="791"/>
      <c r="E37" s="514" t="s">
        <v>633</v>
      </c>
      <c r="F37" s="514" t="s">
        <v>634</v>
      </c>
      <c r="G37" s="514" t="s">
        <v>633</v>
      </c>
      <c r="H37" s="514" t="s">
        <v>634</v>
      </c>
    </row>
    <row r="38" spans="1:11" ht="32.25" customHeight="1">
      <c r="A38" s="396" t="s">
        <v>644</v>
      </c>
      <c r="B38" s="397">
        <f>SUM(B39:B44)</f>
        <v>-99240</v>
      </c>
      <c r="C38" s="397">
        <f t="shared" ref="C38" si="5">SUM(C39:C44)</f>
        <v>-113407</v>
      </c>
      <c r="D38" s="397">
        <f>SUM(D39:D44)</f>
        <v>-135232</v>
      </c>
      <c r="E38" s="387">
        <f>-(D38-B38)</f>
        <v>35992</v>
      </c>
      <c r="F38" s="388">
        <f>D38/B38*100-100</f>
        <v>36.299999999999997</v>
      </c>
      <c r="G38" s="387">
        <f>-(D38-C38)</f>
        <v>21825</v>
      </c>
      <c r="H38" s="388">
        <f>D38/C38*100-100</f>
        <v>19.2</v>
      </c>
      <c r="K38" s="516"/>
    </row>
    <row r="39" spans="1:11" ht="45.75" customHeight="1">
      <c r="A39" s="389" t="s">
        <v>119</v>
      </c>
      <c r="B39" s="398">
        <f>'I. Фін результат'!C9</f>
        <v>-90529</v>
      </c>
      <c r="C39" s="398">
        <f>'I. Фін результат'!E9</f>
        <v>-101944</v>
      </c>
      <c r="D39" s="398">
        <f>'I. Фін результат'!F9</f>
        <v>-122536</v>
      </c>
      <c r="E39" s="392">
        <f t="shared" ref="E39:E44" si="6">-(D39-B39)</f>
        <v>32007</v>
      </c>
      <c r="F39" s="393">
        <f t="shared" ref="F39:F44" si="7">D39/B39*100-100</f>
        <v>35.4</v>
      </c>
      <c r="G39" s="392">
        <f t="shared" ref="G39:G44" si="8">-(D39-C39)</f>
        <v>20592</v>
      </c>
      <c r="H39" s="393">
        <f t="shared" ref="H39:H44" si="9">D39/C39*100-100</f>
        <v>20.2</v>
      </c>
    </row>
    <row r="40" spans="1:11" ht="20.25" customHeight="1">
      <c r="A40" s="389" t="s">
        <v>104</v>
      </c>
      <c r="B40" s="398">
        <f>'I. Фін результат'!C19</f>
        <v>-7827</v>
      </c>
      <c r="C40" s="398">
        <f>'I. Фін результат'!E19</f>
        <v>-9392</v>
      </c>
      <c r="D40" s="398">
        <f>'I. Фін результат'!F19</f>
        <v>-11320</v>
      </c>
      <c r="E40" s="392">
        <f t="shared" si="6"/>
        <v>3493</v>
      </c>
      <c r="F40" s="393">
        <f t="shared" si="7"/>
        <v>44.6</v>
      </c>
      <c r="G40" s="392">
        <f t="shared" si="8"/>
        <v>1928</v>
      </c>
      <c r="H40" s="393">
        <f t="shared" si="9"/>
        <v>20.5</v>
      </c>
    </row>
    <row r="41" spans="1:11" ht="20.25" customHeight="1">
      <c r="A41" s="389" t="s">
        <v>26</v>
      </c>
      <c r="B41" s="399">
        <f>'I. Фін результат'!C52</f>
        <v>-5</v>
      </c>
      <c r="C41" s="398">
        <f>'I. Фін результат'!E52</f>
        <v>0</v>
      </c>
      <c r="D41" s="398">
        <f>'I. Фін результат'!F52</f>
        <v>-36</v>
      </c>
      <c r="E41" s="392">
        <f t="shared" si="6"/>
        <v>31</v>
      </c>
      <c r="F41" s="393">
        <f t="shared" si="7"/>
        <v>620</v>
      </c>
      <c r="G41" s="392">
        <f t="shared" si="8"/>
        <v>36</v>
      </c>
      <c r="H41" s="393" t="e">
        <f t="shared" si="9"/>
        <v>#DIV/0!</v>
      </c>
    </row>
    <row r="42" spans="1:11" ht="21" customHeight="1">
      <c r="A42" s="389" t="s">
        <v>202</v>
      </c>
      <c r="B42" s="398">
        <f>'I. Фін результат'!C63</f>
        <v>-833</v>
      </c>
      <c r="C42" s="398">
        <f>'I. Фін результат'!E63</f>
        <v>-561</v>
      </c>
      <c r="D42" s="398">
        <f>'I. Фін результат'!F63</f>
        <v>-249</v>
      </c>
      <c r="E42" s="392">
        <f t="shared" si="6"/>
        <v>-584</v>
      </c>
      <c r="F42" s="393">
        <f t="shared" si="7"/>
        <v>-70.099999999999994</v>
      </c>
      <c r="G42" s="392">
        <f t="shared" si="8"/>
        <v>-312</v>
      </c>
      <c r="H42" s="393">
        <f t="shared" si="9"/>
        <v>-55.6</v>
      </c>
    </row>
    <row r="43" spans="1:11" ht="21" customHeight="1">
      <c r="A43" s="389" t="s">
        <v>205</v>
      </c>
      <c r="B43" s="398">
        <f>'I. Фін результат'!C67</f>
        <v>-46</v>
      </c>
      <c r="C43" s="398">
        <f>'I. Фін результат'!E67</f>
        <v>0</v>
      </c>
      <c r="D43" s="398">
        <v>-36</v>
      </c>
      <c r="E43" s="392">
        <f t="shared" si="6"/>
        <v>-10</v>
      </c>
      <c r="F43" s="393">
        <f t="shared" si="7"/>
        <v>-21.7</v>
      </c>
      <c r="G43" s="392">
        <f t="shared" si="8"/>
        <v>36</v>
      </c>
      <c r="H43" s="393" t="e">
        <f t="shared" si="9"/>
        <v>#DIV/0!</v>
      </c>
    </row>
    <row r="44" spans="1:11" ht="32.25" customHeight="1" thickBot="1">
      <c r="A44" s="400" t="s">
        <v>206</v>
      </c>
      <c r="B44" s="398">
        <v>0</v>
      </c>
      <c r="C44" s="398">
        <f>'I. Фін результат'!E71</f>
        <v>-1510</v>
      </c>
      <c r="D44" s="398">
        <f>'I. Фін результат'!F71</f>
        <v>-1055</v>
      </c>
      <c r="E44" s="392">
        <f t="shared" si="6"/>
        <v>1055</v>
      </c>
      <c r="F44" s="393" t="e">
        <f t="shared" si="7"/>
        <v>#DIV/0!</v>
      </c>
      <c r="G44" s="392">
        <f t="shared" si="8"/>
        <v>-455</v>
      </c>
      <c r="H44" s="393">
        <f t="shared" si="9"/>
        <v>-30.1</v>
      </c>
    </row>
    <row r="45" spans="1:11" ht="33.75" customHeight="1">
      <c r="A45" s="789" t="s">
        <v>645</v>
      </c>
      <c r="B45" s="789"/>
      <c r="C45" s="789"/>
      <c r="D45" s="789"/>
      <c r="E45" s="789"/>
      <c r="F45" s="789"/>
      <c r="G45" s="789"/>
      <c r="H45" s="789"/>
    </row>
    <row r="46" spans="1:11" ht="36" customHeight="1">
      <c r="A46" s="793" t="s">
        <v>724</v>
      </c>
      <c r="B46" s="793"/>
      <c r="C46" s="793"/>
      <c r="D46" s="793"/>
      <c r="E46" s="793"/>
      <c r="F46" s="793"/>
      <c r="G46" s="793"/>
      <c r="H46" s="793"/>
    </row>
    <row r="47" spans="1:11">
      <c r="A47" s="790" t="s">
        <v>403</v>
      </c>
      <c r="B47" s="790"/>
      <c r="C47" s="790"/>
      <c r="D47" s="790"/>
      <c r="E47" s="790"/>
      <c r="F47" s="790"/>
      <c r="G47" s="790"/>
      <c r="H47" s="790"/>
    </row>
    <row r="48" spans="1:11" ht="16.5" customHeight="1">
      <c r="A48" s="791" t="s">
        <v>631</v>
      </c>
      <c r="B48" s="791" t="s">
        <v>717</v>
      </c>
      <c r="C48" s="791" t="s">
        <v>718</v>
      </c>
      <c r="D48" s="791" t="s">
        <v>719</v>
      </c>
      <c r="E48" s="791" t="s">
        <v>632</v>
      </c>
      <c r="F48" s="791"/>
      <c r="G48" s="791"/>
      <c r="H48" s="791"/>
    </row>
    <row r="49" spans="1:8" ht="12.75" customHeight="1">
      <c r="A49" s="791"/>
      <c r="B49" s="791"/>
      <c r="C49" s="791"/>
      <c r="D49" s="791"/>
      <c r="E49" s="792" t="s">
        <v>720</v>
      </c>
      <c r="F49" s="792"/>
      <c r="G49" s="792" t="s">
        <v>721</v>
      </c>
      <c r="H49" s="792"/>
    </row>
    <row r="50" spans="1:8" ht="12.75" customHeight="1">
      <c r="A50" s="791"/>
      <c r="B50" s="791"/>
      <c r="C50" s="791"/>
      <c r="D50" s="791"/>
      <c r="E50" s="792"/>
      <c r="F50" s="792"/>
      <c r="G50" s="792"/>
      <c r="H50" s="792"/>
    </row>
    <row r="51" spans="1:8" ht="24" customHeight="1">
      <c r="A51" s="791"/>
      <c r="B51" s="791"/>
      <c r="C51" s="791"/>
      <c r="D51" s="791"/>
      <c r="E51" s="792"/>
      <c r="F51" s="792"/>
      <c r="G51" s="792"/>
      <c r="H51" s="792"/>
    </row>
    <row r="52" spans="1:8">
      <c r="A52" s="791"/>
      <c r="B52" s="791"/>
      <c r="C52" s="791"/>
      <c r="D52" s="791"/>
      <c r="E52" s="514" t="s">
        <v>633</v>
      </c>
      <c r="F52" s="514" t="s">
        <v>634</v>
      </c>
      <c r="G52" s="514" t="s">
        <v>633</v>
      </c>
      <c r="H52" s="514" t="s">
        <v>634</v>
      </c>
    </row>
    <row r="53" spans="1:8" ht="32.25" customHeight="1">
      <c r="A53" s="396" t="s">
        <v>725</v>
      </c>
      <c r="B53" s="404">
        <f>SUM(B54:B56)</f>
        <v>213</v>
      </c>
      <c r="C53" s="404">
        <f t="shared" ref="C53:D53" si="10">SUM(C54:C56)</f>
        <v>214</v>
      </c>
      <c r="D53" s="404">
        <f t="shared" si="10"/>
        <v>214</v>
      </c>
      <c r="E53" s="392">
        <f>D53-B53</f>
        <v>1</v>
      </c>
      <c r="F53" s="393">
        <f>D53/B53*100-100</f>
        <v>0.5</v>
      </c>
      <c r="G53" s="392">
        <f>D53-C53</f>
        <v>0</v>
      </c>
      <c r="H53" s="393">
        <f>D53/C53*100-100</f>
        <v>0</v>
      </c>
    </row>
    <row r="54" spans="1:8" ht="21.75" customHeight="1">
      <c r="A54" s="389" t="str">
        <f>'6.1. Інша інфо_1'!A11:C11</f>
        <v>директор</v>
      </c>
      <c r="B54" s="404">
        <f>'6.1. Інша інфо_1'!D11</f>
        <v>1</v>
      </c>
      <c r="C54" s="404">
        <f>'6.1. Інша інфо_1'!H11</f>
        <v>1</v>
      </c>
      <c r="D54" s="404">
        <f>'6.1. Інша інфо_1'!J11</f>
        <v>1</v>
      </c>
      <c r="E54" s="392">
        <f t="shared" ref="E54:E64" si="11">D54-B54</f>
        <v>0</v>
      </c>
      <c r="F54" s="393">
        <f t="shared" ref="F54:F64" si="12">D54/B54*100-100</f>
        <v>0</v>
      </c>
      <c r="G54" s="392">
        <f t="shared" ref="G54:G64" si="13">D54-C54</f>
        <v>0</v>
      </c>
      <c r="H54" s="393">
        <f t="shared" ref="H54:H64" si="14">D54/C54*100-100</f>
        <v>0</v>
      </c>
    </row>
    <row r="55" spans="1:8" ht="31.5" customHeight="1">
      <c r="A55" s="389" t="str">
        <f>'6.1. Інша інфо_1'!A12:C12</f>
        <v>адміністративно-управлінський персонал</v>
      </c>
      <c r="B55" s="404">
        <f>'6.1. Інша інфо_1'!D12</f>
        <v>40</v>
      </c>
      <c r="C55" s="404">
        <f>'6.1. Інша інфо_1'!H12</f>
        <v>40</v>
      </c>
      <c r="D55" s="404">
        <f>'6.1. Інша інфо_1'!J12</f>
        <v>40</v>
      </c>
      <c r="E55" s="392">
        <f t="shared" si="11"/>
        <v>0</v>
      </c>
      <c r="F55" s="393">
        <f t="shared" si="12"/>
        <v>0</v>
      </c>
      <c r="G55" s="392">
        <f t="shared" si="13"/>
        <v>0</v>
      </c>
      <c r="H55" s="393">
        <f t="shared" si="14"/>
        <v>0</v>
      </c>
    </row>
    <row r="56" spans="1:8" ht="24" customHeight="1">
      <c r="A56" s="389" t="str">
        <f>'6.1. Інша інфо_1'!A13:C13</f>
        <v>працівники</v>
      </c>
      <c r="B56" s="404">
        <f>'6.1. Інша інфо_1'!D13</f>
        <v>172</v>
      </c>
      <c r="C56" s="404">
        <f>'6.1. Інша інфо_1'!H13</f>
        <v>173</v>
      </c>
      <c r="D56" s="404">
        <f>'6.1. Інша інфо_1'!J13</f>
        <v>173</v>
      </c>
      <c r="E56" s="392">
        <f t="shared" si="11"/>
        <v>1</v>
      </c>
      <c r="F56" s="393">
        <f t="shared" si="12"/>
        <v>0.6</v>
      </c>
      <c r="G56" s="392">
        <f t="shared" si="13"/>
        <v>0</v>
      </c>
      <c r="H56" s="393">
        <f t="shared" si="14"/>
        <v>0</v>
      </c>
    </row>
    <row r="57" spans="1:8" ht="30.75" customHeight="1">
      <c r="A57" s="396" t="str">
        <f>'6.1. Інша інфо_1'!A18:C18</f>
        <v>Витрати на оплату праці, тис. грн, у тому числі:</v>
      </c>
      <c r="B57" s="404">
        <f>SUM(B58:B60)</f>
        <v>36629</v>
      </c>
      <c r="C57" s="404">
        <f t="shared" ref="C57:D57" si="15">SUM(C58:C60)</f>
        <v>38831</v>
      </c>
      <c r="D57" s="404">
        <f t="shared" si="15"/>
        <v>40092</v>
      </c>
      <c r="E57" s="392">
        <f t="shared" si="11"/>
        <v>3463</v>
      </c>
      <c r="F57" s="393">
        <f t="shared" si="12"/>
        <v>9.5</v>
      </c>
      <c r="G57" s="392">
        <f t="shared" si="13"/>
        <v>1261</v>
      </c>
      <c r="H57" s="393">
        <f t="shared" si="14"/>
        <v>3.2</v>
      </c>
    </row>
    <row r="58" spans="1:8" ht="21.75" customHeight="1">
      <c r="A58" s="389" t="str">
        <f>'6.1. Інша інфо_1'!A19:C19</f>
        <v>директор</v>
      </c>
      <c r="B58" s="404">
        <f>'6.1. Інша інфо_1'!D19</f>
        <v>334</v>
      </c>
      <c r="C58" s="404">
        <f>'6.1. Інша інфо_1'!H19</f>
        <v>381</v>
      </c>
      <c r="D58" s="404">
        <f>'6.1. Інша інфо_1'!J19</f>
        <v>397</v>
      </c>
      <c r="E58" s="392">
        <f t="shared" si="11"/>
        <v>63</v>
      </c>
      <c r="F58" s="393">
        <f t="shared" si="12"/>
        <v>18.899999999999999</v>
      </c>
      <c r="G58" s="392">
        <f t="shared" si="13"/>
        <v>16</v>
      </c>
      <c r="H58" s="393">
        <f t="shared" si="14"/>
        <v>4.2</v>
      </c>
    </row>
    <row r="59" spans="1:8" ht="30.75" customHeight="1">
      <c r="A59" s="389" t="str">
        <f>'6.1. Інша інфо_1'!A20:C20</f>
        <v>адміністративно-управлінський персонал</v>
      </c>
      <c r="B59" s="404">
        <f>'6.1. Інша інфо_1'!D20</f>
        <v>8621</v>
      </c>
      <c r="C59" s="404">
        <f>'6.1. Інша інфо_1'!H20</f>
        <v>9550</v>
      </c>
      <c r="D59" s="404">
        <f>'6.1. Інша інфо_1'!J20</f>
        <v>9875</v>
      </c>
      <c r="E59" s="392">
        <f t="shared" si="11"/>
        <v>1254</v>
      </c>
      <c r="F59" s="393">
        <f t="shared" si="12"/>
        <v>14.5</v>
      </c>
      <c r="G59" s="392">
        <f t="shared" si="13"/>
        <v>325</v>
      </c>
      <c r="H59" s="393">
        <f t="shared" si="14"/>
        <v>3.4</v>
      </c>
    </row>
    <row r="60" spans="1:8" ht="23.25" customHeight="1">
      <c r="A60" s="389" t="str">
        <f>'6.1. Інша інфо_1'!A21:C21</f>
        <v>працівники</v>
      </c>
      <c r="B60" s="404">
        <f>'6.1. Інша інфо_1'!D21</f>
        <v>27674</v>
      </c>
      <c r="C60" s="404">
        <f>'6.1. Інша інфо_1'!H21</f>
        <v>28900</v>
      </c>
      <c r="D60" s="404">
        <f>'6.1. Інша інфо_1'!J21</f>
        <v>29820</v>
      </c>
      <c r="E60" s="392">
        <f t="shared" si="11"/>
        <v>2146</v>
      </c>
      <c r="F60" s="393">
        <f t="shared" si="12"/>
        <v>7.8</v>
      </c>
      <c r="G60" s="392">
        <f t="shared" si="13"/>
        <v>920</v>
      </c>
      <c r="H60" s="393">
        <f t="shared" si="14"/>
        <v>3.2</v>
      </c>
    </row>
    <row r="61" spans="1:8" ht="63.75" customHeight="1">
      <c r="A61" s="396" t="str">
        <f>'6.1. Інша інфо_1'!A22:C22</f>
        <v>Середньомісячні витрати на оплату праці одного працівника (грн), усього, у тому числі:</v>
      </c>
      <c r="B61" s="404">
        <f>'6.1. Інша інфо_1'!D22</f>
        <v>14331</v>
      </c>
      <c r="C61" s="404">
        <f>'6.1. Інша інфо_1'!H22</f>
        <v>15121</v>
      </c>
      <c r="D61" s="404">
        <f>'6.1. Інша інфо_1'!J22</f>
        <v>15612</v>
      </c>
      <c r="E61" s="392">
        <f t="shared" si="11"/>
        <v>1281</v>
      </c>
      <c r="F61" s="393">
        <f t="shared" si="12"/>
        <v>8.9</v>
      </c>
      <c r="G61" s="392">
        <f t="shared" si="13"/>
        <v>491</v>
      </c>
      <c r="H61" s="393">
        <f t="shared" si="14"/>
        <v>3.2</v>
      </c>
    </row>
    <row r="62" spans="1:8" ht="21.75" customHeight="1">
      <c r="A62" s="389" t="str">
        <f>'6.1. Інша інфо_1'!A23:C23</f>
        <v>директор</v>
      </c>
      <c r="B62" s="404">
        <f>'6.1. Інша інфо_1'!D23</f>
        <v>27833</v>
      </c>
      <c r="C62" s="404">
        <f>'6.1. Інша інфо_1'!H23</f>
        <v>31750</v>
      </c>
      <c r="D62" s="404">
        <f>'6.1. Інша інфо_1'!J23</f>
        <v>33083</v>
      </c>
      <c r="E62" s="392">
        <f t="shared" si="11"/>
        <v>5250</v>
      </c>
      <c r="F62" s="393">
        <f t="shared" si="12"/>
        <v>18.899999999999999</v>
      </c>
      <c r="G62" s="392">
        <f t="shared" si="13"/>
        <v>1333</v>
      </c>
      <c r="H62" s="393">
        <f t="shared" si="14"/>
        <v>4.2</v>
      </c>
    </row>
    <row r="63" spans="1:8" ht="30.75" customHeight="1">
      <c r="A63" s="389" t="str">
        <f>'6.1. Інша інфо_1'!A24:C24</f>
        <v>адміністративно-управлінський персонал</v>
      </c>
      <c r="B63" s="404">
        <f>'6.1. Інша інфо_1'!D24</f>
        <v>17960</v>
      </c>
      <c r="C63" s="404">
        <f>'6.1. Інша інфо_1'!H24</f>
        <v>19896</v>
      </c>
      <c r="D63" s="404">
        <f>'6.1. Інша інфо_1'!J24</f>
        <v>20573</v>
      </c>
      <c r="E63" s="392">
        <f t="shared" si="11"/>
        <v>2613</v>
      </c>
      <c r="F63" s="393">
        <f t="shared" si="12"/>
        <v>14.5</v>
      </c>
      <c r="G63" s="392">
        <f t="shared" si="13"/>
        <v>677</v>
      </c>
      <c r="H63" s="393">
        <f t="shared" si="14"/>
        <v>3.4</v>
      </c>
    </row>
    <row r="64" spans="1:8" ht="24" customHeight="1">
      <c r="A64" s="389" t="str">
        <f>'6.1. Інша інфо_1'!A25:C25</f>
        <v>працівники</v>
      </c>
      <c r="B64" s="404">
        <f>'6.1. Інша інфо_1'!D25</f>
        <v>13408</v>
      </c>
      <c r="C64" s="404">
        <f>'6.1. Інша інфо_1'!H25</f>
        <v>13921</v>
      </c>
      <c r="D64" s="404">
        <f>'6.1. Інша інфо_1'!J25</f>
        <v>14364</v>
      </c>
      <c r="E64" s="392">
        <f t="shared" si="11"/>
        <v>956</v>
      </c>
      <c r="F64" s="393">
        <f t="shared" si="12"/>
        <v>7.1</v>
      </c>
      <c r="G64" s="392">
        <f t="shared" si="13"/>
        <v>443</v>
      </c>
      <c r="H64" s="393">
        <f t="shared" si="14"/>
        <v>3.2</v>
      </c>
    </row>
    <row r="65" spans="1:8" ht="42.75" customHeight="1">
      <c r="A65" s="789" t="s">
        <v>722</v>
      </c>
      <c r="B65" s="789"/>
      <c r="C65" s="789"/>
      <c r="D65" s="789"/>
      <c r="E65" s="789"/>
      <c r="F65" s="789"/>
      <c r="G65" s="789"/>
      <c r="H65" s="789"/>
    </row>
    <row r="66" spans="1:8" ht="11.25" customHeight="1">
      <c r="A66" s="401" t="s">
        <v>646</v>
      </c>
      <c r="B66" s="402"/>
      <c r="C66" s="403"/>
      <c r="D66" s="403"/>
      <c r="E66" s="403"/>
      <c r="F66" s="403"/>
      <c r="G66" s="403"/>
      <c r="H66" s="403"/>
    </row>
    <row r="67" spans="1:8" ht="15.75" customHeight="1">
      <c r="A67" s="790" t="s">
        <v>403</v>
      </c>
      <c r="B67" s="790"/>
      <c r="C67" s="790"/>
      <c r="D67" s="790"/>
      <c r="E67" s="790"/>
      <c r="F67" s="790"/>
      <c r="G67" s="790"/>
      <c r="H67" s="790"/>
    </row>
    <row r="68" spans="1:8" ht="21" customHeight="1">
      <c r="A68" s="791" t="s">
        <v>631</v>
      </c>
      <c r="B68" s="791" t="s">
        <v>717</v>
      </c>
      <c r="C68" s="791" t="s">
        <v>718</v>
      </c>
      <c r="D68" s="791" t="s">
        <v>719</v>
      </c>
      <c r="E68" s="791" t="s">
        <v>632</v>
      </c>
      <c r="F68" s="791"/>
      <c r="G68" s="791"/>
      <c r="H68" s="791"/>
    </row>
    <row r="69" spans="1:8" ht="18" customHeight="1">
      <c r="A69" s="791"/>
      <c r="B69" s="791"/>
      <c r="C69" s="791"/>
      <c r="D69" s="791"/>
      <c r="E69" s="792" t="s">
        <v>720</v>
      </c>
      <c r="F69" s="792"/>
      <c r="G69" s="792" t="s">
        <v>721</v>
      </c>
      <c r="H69" s="792"/>
    </row>
    <row r="70" spans="1:8" ht="7.5" customHeight="1">
      <c r="A70" s="791"/>
      <c r="B70" s="791"/>
      <c r="C70" s="791"/>
      <c r="D70" s="791"/>
      <c r="E70" s="792"/>
      <c r="F70" s="792"/>
      <c r="G70" s="792"/>
      <c r="H70" s="792"/>
    </row>
    <row r="71" spans="1:8" ht="12.75" customHeight="1">
      <c r="A71" s="791"/>
      <c r="B71" s="791"/>
      <c r="C71" s="791"/>
      <c r="D71" s="791"/>
      <c r="E71" s="792"/>
      <c r="F71" s="792"/>
      <c r="G71" s="792"/>
      <c r="H71" s="792"/>
    </row>
    <row r="72" spans="1:8" ht="23.25" customHeight="1">
      <c r="A72" s="791"/>
      <c r="B72" s="791"/>
      <c r="C72" s="791"/>
      <c r="D72" s="791"/>
      <c r="E72" s="514" t="s">
        <v>633</v>
      </c>
      <c r="F72" s="514" t="s">
        <v>634</v>
      </c>
      <c r="G72" s="514" t="s">
        <v>633</v>
      </c>
      <c r="H72" s="514" t="s">
        <v>634</v>
      </c>
    </row>
    <row r="73" spans="1:8">
      <c r="A73" s="396" t="s">
        <v>647</v>
      </c>
      <c r="B73" s="404">
        <f>'I. Фін результат'!C18</f>
        <v>10206</v>
      </c>
      <c r="C73" s="404">
        <f>'I. Фін результат'!E18</f>
        <v>17808</v>
      </c>
      <c r="D73" s="404">
        <f>'I. Фін результат'!F18</f>
        <v>16976</v>
      </c>
      <c r="E73" s="392">
        <f t="shared" ref="E73" si="16">D73-B73</f>
        <v>6770</v>
      </c>
      <c r="F73" s="393">
        <f t="shared" ref="F73" si="17">D73/B73*100-100</f>
        <v>66.3</v>
      </c>
      <c r="G73" s="392">
        <f t="shared" ref="G73" si="18">D73-C73</f>
        <v>-832</v>
      </c>
      <c r="H73" s="393">
        <f t="shared" ref="H73" si="19">D73/C73*100-100</f>
        <v>-4.7</v>
      </c>
    </row>
    <row r="74" spans="1:8" ht="31.2">
      <c r="A74" s="396" t="s">
        <v>4</v>
      </c>
      <c r="B74" s="404">
        <f>'I. Фін результат'!C59</f>
        <v>2650</v>
      </c>
      <c r="C74" s="404">
        <f>'I. Фін результат'!E59</f>
        <v>8416</v>
      </c>
      <c r="D74" s="404">
        <f>'I. Фін результат'!F59</f>
        <v>5620</v>
      </c>
      <c r="E74" s="392">
        <f t="shared" ref="E74:E78" si="20">D74-B74</f>
        <v>2970</v>
      </c>
      <c r="F74" s="393">
        <f t="shared" ref="F74:F78" si="21">D74/B74*100-100</f>
        <v>112.1</v>
      </c>
      <c r="G74" s="392">
        <f t="shared" ref="G74:G78" si="22">D74-C74</f>
        <v>-2796</v>
      </c>
      <c r="H74" s="393">
        <f t="shared" ref="H74:H78" si="23">D74/C74*100-100</f>
        <v>-33.200000000000003</v>
      </c>
    </row>
    <row r="75" spans="1:8" ht="31.2">
      <c r="A75" s="396" t="s">
        <v>78</v>
      </c>
      <c r="B75" s="404">
        <f>'I. Фін результат'!C70</f>
        <v>2299</v>
      </c>
      <c r="C75" s="404">
        <f>'I. Фін результат'!E70</f>
        <v>8383</v>
      </c>
      <c r="D75" s="404">
        <f>'I. Фін результат'!F70</f>
        <v>5863</v>
      </c>
      <c r="E75" s="392">
        <f t="shared" si="20"/>
        <v>3564</v>
      </c>
      <c r="F75" s="393">
        <f t="shared" si="21"/>
        <v>155</v>
      </c>
      <c r="G75" s="392">
        <f t="shared" si="22"/>
        <v>-2520</v>
      </c>
      <c r="H75" s="393">
        <f t="shared" si="23"/>
        <v>-30.1</v>
      </c>
    </row>
    <row r="76" spans="1:8" ht="31.2">
      <c r="A76" s="396" t="s">
        <v>290</v>
      </c>
      <c r="B76" s="404">
        <f>'I. Фін результат'!C75</f>
        <v>2299</v>
      </c>
      <c r="C76" s="404">
        <f>'I. Фін результат'!E75</f>
        <v>6873</v>
      </c>
      <c r="D76" s="404">
        <f>'I. Фін результат'!F75</f>
        <v>4808</v>
      </c>
      <c r="E76" s="392">
        <f t="shared" si="20"/>
        <v>2509</v>
      </c>
      <c r="F76" s="393">
        <f t="shared" si="21"/>
        <v>109.1</v>
      </c>
      <c r="G76" s="392">
        <f t="shared" si="22"/>
        <v>-2065</v>
      </c>
      <c r="H76" s="393">
        <f t="shared" si="23"/>
        <v>-30</v>
      </c>
    </row>
    <row r="77" spans="1:8">
      <c r="A77" s="389" t="s">
        <v>648</v>
      </c>
      <c r="B77" s="404">
        <f>'I. Фін результат'!C76</f>
        <v>2299</v>
      </c>
      <c r="C77" s="404">
        <f>'I. Фін результат'!E76</f>
        <v>6873</v>
      </c>
      <c r="D77" s="404">
        <f>'I. Фін результат'!F76</f>
        <v>4808</v>
      </c>
      <c r="E77" s="392">
        <f t="shared" si="20"/>
        <v>2509</v>
      </c>
      <c r="F77" s="393">
        <f t="shared" si="21"/>
        <v>109.1</v>
      </c>
      <c r="G77" s="392">
        <f t="shared" si="22"/>
        <v>-2065</v>
      </c>
      <c r="H77" s="393">
        <f t="shared" si="23"/>
        <v>-30</v>
      </c>
    </row>
    <row r="78" spans="1:8" ht="20.25" customHeight="1">
      <c r="A78" s="389" t="s">
        <v>24</v>
      </c>
      <c r="B78" s="404">
        <v>0</v>
      </c>
      <c r="C78" s="404">
        <v>0</v>
      </c>
      <c r="D78" s="404">
        <f>'[46]I. Фін результат'!F77</f>
        <v>0</v>
      </c>
      <c r="E78" s="392">
        <f t="shared" si="20"/>
        <v>0</v>
      </c>
      <c r="F78" s="393" t="e">
        <f t="shared" si="21"/>
        <v>#DIV/0!</v>
      </c>
      <c r="G78" s="392">
        <f t="shared" si="22"/>
        <v>0</v>
      </c>
      <c r="H78" s="393" t="e">
        <f t="shared" si="23"/>
        <v>#DIV/0!</v>
      </c>
    </row>
    <row r="79" spans="1:8" ht="39" customHeight="1">
      <c r="A79" s="405" t="s">
        <v>723</v>
      </c>
      <c r="B79" s="402"/>
      <c r="C79" s="406"/>
      <c r="D79" s="406"/>
      <c r="E79" s="406"/>
      <c r="F79" s="406"/>
      <c r="G79" s="407"/>
      <c r="H79" s="406"/>
    </row>
    <row r="80" spans="1:8" ht="15" customHeight="1">
      <c r="A80" s="798" t="s">
        <v>649</v>
      </c>
      <c r="B80" s="798"/>
      <c r="C80" s="798"/>
      <c r="D80" s="798"/>
      <c r="E80" s="798"/>
      <c r="F80" s="798"/>
      <c r="G80" s="798"/>
      <c r="H80" s="798"/>
    </row>
    <row r="81" spans="1:12" ht="15.75" customHeight="1">
      <c r="A81" s="798" t="s">
        <v>650</v>
      </c>
      <c r="B81" s="798"/>
      <c r="C81" s="798"/>
      <c r="D81" s="798"/>
      <c r="E81" s="798"/>
      <c r="F81" s="798"/>
      <c r="G81" s="798"/>
      <c r="H81" s="798"/>
    </row>
    <row r="82" spans="1:12" ht="10.5" customHeight="1">
      <c r="A82" s="799" t="s">
        <v>403</v>
      </c>
      <c r="B82" s="799"/>
      <c r="C82" s="799"/>
      <c r="D82" s="799"/>
      <c r="E82" s="799"/>
      <c r="F82" s="799"/>
      <c r="G82" s="799"/>
      <c r="H82" s="799"/>
    </row>
    <row r="83" spans="1:12">
      <c r="A83" s="800" t="s">
        <v>631</v>
      </c>
      <c r="B83" s="800" t="s">
        <v>717</v>
      </c>
      <c r="C83" s="800" t="s">
        <v>718</v>
      </c>
      <c r="D83" s="800" t="s">
        <v>719</v>
      </c>
      <c r="E83" s="803" t="s">
        <v>632</v>
      </c>
      <c r="F83" s="804"/>
      <c r="G83" s="804"/>
      <c r="H83" s="805"/>
    </row>
    <row r="84" spans="1:12" ht="13.2">
      <c r="A84" s="801"/>
      <c r="B84" s="801"/>
      <c r="C84" s="801"/>
      <c r="D84" s="801"/>
      <c r="E84" s="806" t="s">
        <v>720</v>
      </c>
      <c r="F84" s="807"/>
      <c r="G84" s="806" t="s">
        <v>721</v>
      </c>
      <c r="H84" s="807"/>
    </row>
    <row r="85" spans="1:12" ht="13.2">
      <c r="A85" s="801"/>
      <c r="B85" s="801"/>
      <c r="C85" s="801"/>
      <c r="D85" s="801"/>
      <c r="E85" s="808"/>
      <c r="F85" s="809"/>
      <c r="G85" s="808"/>
      <c r="H85" s="809"/>
    </row>
    <row r="86" spans="1:12" ht="13.2">
      <c r="A86" s="801"/>
      <c r="B86" s="801"/>
      <c r="C86" s="801"/>
      <c r="D86" s="801"/>
      <c r="E86" s="810"/>
      <c r="F86" s="811"/>
      <c r="G86" s="810"/>
      <c r="H86" s="811"/>
    </row>
    <row r="87" spans="1:12">
      <c r="A87" s="802"/>
      <c r="B87" s="802"/>
      <c r="C87" s="802"/>
      <c r="D87" s="802"/>
      <c r="E87" s="514" t="s">
        <v>633</v>
      </c>
      <c r="F87" s="514" t="s">
        <v>634</v>
      </c>
      <c r="G87" s="514" t="s">
        <v>633</v>
      </c>
      <c r="H87" s="514" t="s">
        <v>634</v>
      </c>
      <c r="L87" s="394"/>
    </row>
    <row r="88" spans="1:12">
      <c r="A88" s="396" t="s">
        <v>651</v>
      </c>
      <c r="B88" s="408">
        <f>SUM(B89:B96)</f>
        <v>32629</v>
      </c>
      <c r="C88" s="408">
        <f>SUM(C89:C96)</f>
        <v>35400</v>
      </c>
      <c r="D88" s="408">
        <f t="shared" ref="D88" si="24">SUM(D89:D96)</f>
        <v>38048</v>
      </c>
      <c r="E88" s="387">
        <f t="shared" ref="E88" si="25">D88-B88</f>
        <v>5419</v>
      </c>
      <c r="F88" s="388">
        <f t="shared" ref="F88" si="26">D88/B88*100-100</f>
        <v>16.600000000000001</v>
      </c>
      <c r="G88" s="387">
        <f t="shared" ref="G88" si="27">D88-C88</f>
        <v>2648</v>
      </c>
      <c r="H88" s="388">
        <f t="shared" ref="H88" si="28">D88/C88*100-100</f>
        <v>7.5</v>
      </c>
    </row>
    <row r="89" spans="1:12" ht="31.2">
      <c r="A89" s="389" t="s">
        <v>652</v>
      </c>
      <c r="B89" s="409">
        <f>'ІІ. Розр. з бюджетом'!C20</f>
        <v>12518</v>
      </c>
      <c r="C89" s="409">
        <f>'ІІ. Розр. з бюджетом'!E20</f>
        <v>12040</v>
      </c>
      <c r="D89" s="409">
        <f>'ІІ. Розр. з бюджетом'!F20</f>
        <v>14400</v>
      </c>
      <c r="E89" s="392">
        <f t="shared" ref="E89:E96" si="29">D89-B89</f>
        <v>1882</v>
      </c>
      <c r="F89" s="393">
        <f t="shared" ref="F89:F96" si="30">D89/B89*100-100</f>
        <v>15</v>
      </c>
      <c r="G89" s="392">
        <f t="shared" ref="G89:G96" si="31">D89-C89</f>
        <v>2360</v>
      </c>
      <c r="H89" s="393">
        <f t="shared" ref="H89:H96" si="32">D89/C89*100-100</f>
        <v>19.600000000000001</v>
      </c>
    </row>
    <row r="90" spans="1:12" ht="31.2">
      <c r="A90" s="389" t="s">
        <v>653</v>
      </c>
      <c r="B90" s="409">
        <f>'ІІ. Розр. з бюджетом'!C29</f>
        <v>6574</v>
      </c>
      <c r="C90" s="409">
        <f>'ІІ. Розр. з бюджетом'!E29</f>
        <v>6990</v>
      </c>
      <c r="D90" s="409">
        <f>'ІІ. Розр. з бюджетом'!F29</f>
        <v>7216</v>
      </c>
      <c r="E90" s="392">
        <f t="shared" si="29"/>
        <v>642</v>
      </c>
      <c r="F90" s="393">
        <f t="shared" si="30"/>
        <v>9.8000000000000007</v>
      </c>
      <c r="G90" s="392">
        <f t="shared" si="31"/>
        <v>226</v>
      </c>
      <c r="H90" s="393">
        <f t="shared" si="32"/>
        <v>3.2</v>
      </c>
    </row>
    <row r="91" spans="1:12">
      <c r="A91" s="389" t="s">
        <v>654</v>
      </c>
      <c r="B91" s="409">
        <f>'ІІ. Розр. з бюджетом'!C25</f>
        <v>548</v>
      </c>
      <c r="C91" s="409">
        <f>'ІІ. Розр. з бюджетом'!E25</f>
        <v>582</v>
      </c>
      <c r="D91" s="409">
        <f>'ІІ. Розр. з бюджетом'!F25</f>
        <v>600</v>
      </c>
      <c r="E91" s="392">
        <f t="shared" si="29"/>
        <v>52</v>
      </c>
      <c r="F91" s="393">
        <f t="shared" si="30"/>
        <v>9.5</v>
      </c>
      <c r="G91" s="392">
        <f t="shared" si="31"/>
        <v>18</v>
      </c>
      <c r="H91" s="393">
        <f t="shared" si="32"/>
        <v>3.1</v>
      </c>
    </row>
    <row r="92" spans="1:12" ht="62.4">
      <c r="A92" s="389" t="s">
        <v>655</v>
      </c>
      <c r="B92" s="409">
        <f>'ІІ. Розр. з бюджетом'!C38</f>
        <v>7685</v>
      </c>
      <c r="C92" s="409">
        <f>'ІІ. Розр. з бюджетом'!E38</f>
        <v>8543</v>
      </c>
      <c r="D92" s="409">
        <f>'ІІ. Розр. з бюджетом'!F38</f>
        <v>8820</v>
      </c>
      <c r="E92" s="392">
        <f t="shared" si="29"/>
        <v>1135</v>
      </c>
      <c r="F92" s="393">
        <f t="shared" si="30"/>
        <v>14.8</v>
      </c>
      <c r="G92" s="392">
        <f t="shared" si="31"/>
        <v>277</v>
      </c>
      <c r="H92" s="393">
        <f t="shared" si="32"/>
        <v>3.2</v>
      </c>
    </row>
    <row r="93" spans="1:12" ht="31.2">
      <c r="A93" s="389" t="s">
        <v>656</v>
      </c>
      <c r="B93" s="409">
        <f>'ІІ. Розр. з бюджетом'!C28</f>
        <v>0</v>
      </c>
      <c r="C93" s="409">
        <f>'ІІ. Розр. з бюджетом'!E28</f>
        <v>1510</v>
      </c>
      <c r="D93" s="409">
        <f>'ІІ. Розр. з бюджетом'!F28</f>
        <v>1055</v>
      </c>
      <c r="E93" s="392">
        <f t="shared" si="29"/>
        <v>1055</v>
      </c>
      <c r="F93" s="393" t="e">
        <f t="shared" si="30"/>
        <v>#DIV/0!</v>
      </c>
      <c r="G93" s="392">
        <f t="shared" si="31"/>
        <v>-455</v>
      </c>
      <c r="H93" s="393">
        <f t="shared" si="32"/>
        <v>-30.1</v>
      </c>
    </row>
    <row r="94" spans="1:12">
      <c r="A94" s="389" t="s">
        <v>657</v>
      </c>
      <c r="B94" s="409">
        <f>'ІІ. Розр. з бюджетом'!C31</f>
        <v>151</v>
      </c>
      <c r="C94" s="409">
        <f>'ІІ. Розр. з бюджетом'!E31</f>
        <v>152</v>
      </c>
      <c r="D94" s="409">
        <f>'ІІ. Розр. з бюджетом'!F31</f>
        <v>164</v>
      </c>
      <c r="E94" s="392">
        <f t="shared" si="29"/>
        <v>13</v>
      </c>
      <c r="F94" s="393">
        <f t="shared" si="30"/>
        <v>8.6</v>
      </c>
      <c r="G94" s="392">
        <f t="shared" si="31"/>
        <v>12</v>
      </c>
      <c r="H94" s="393">
        <f t="shared" si="32"/>
        <v>7.9</v>
      </c>
    </row>
    <row r="95" spans="1:12" ht="30.75" customHeight="1">
      <c r="A95" s="389" t="s">
        <v>658</v>
      </c>
      <c r="B95" s="409">
        <f>'ІІ. Розр. з бюджетом'!C39</f>
        <v>4923</v>
      </c>
      <c r="C95" s="409">
        <f>'ІІ. Розр. з бюджетом'!E39</f>
        <v>4896</v>
      </c>
      <c r="D95" s="409">
        <f>'ІІ. Розр. з бюджетом'!F39</f>
        <v>5312</v>
      </c>
      <c r="E95" s="392">
        <f t="shared" si="29"/>
        <v>389</v>
      </c>
      <c r="F95" s="393">
        <f t="shared" si="30"/>
        <v>7.9</v>
      </c>
      <c r="G95" s="392">
        <f t="shared" si="31"/>
        <v>416</v>
      </c>
      <c r="H95" s="393">
        <f t="shared" si="32"/>
        <v>8.5</v>
      </c>
    </row>
    <row r="96" spans="1:12" ht="30" customHeight="1">
      <c r="A96" s="410" t="s">
        <v>659</v>
      </c>
      <c r="B96" s="390">
        <f>'ІІ. Розр. з бюджетом'!C33</f>
        <v>230</v>
      </c>
      <c r="C96" s="409">
        <f>'ІІ. Розр. з бюджетом'!E33</f>
        <v>687</v>
      </c>
      <c r="D96" s="409">
        <f>'ІІ. Розр. з бюджетом'!F33</f>
        <v>481</v>
      </c>
      <c r="E96" s="392">
        <f t="shared" si="29"/>
        <v>251</v>
      </c>
      <c r="F96" s="393">
        <f t="shared" si="30"/>
        <v>109.1</v>
      </c>
      <c r="G96" s="392">
        <f t="shared" si="31"/>
        <v>-206</v>
      </c>
      <c r="H96" s="393">
        <f t="shared" si="32"/>
        <v>-30</v>
      </c>
    </row>
    <row r="97" ht="18.75" customHeight="1"/>
    <row r="98" ht="63" customHeight="1"/>
    <row r="99" ht="30" customHeight="1"/>
    <row r="100" ht="18" customHeight="1"/>
    <row r="101" ht="19.5" customHeight="1"/>
  </sheetData>
  <sheetProtection algorithmName="SHA-512" hashValue="PH6pdGXY5teqqAFLVq29ShvdDoang2b7z+PofDrgONJ1IkHq4gZPv1+X2PmhE9s+cMZm+RVMtoY54GkHlMwPXw==" saltValue="gJYoQ+1Xr1jOs9HjGBgOAQ==" spinCount="100000" sheet="1" objects="1" scenarios="1" selectLockedCells="1" selectUnlockedCells="1"/>
  <mergeCells count="49">
    <mergeCell ref="A80:H80"/>
    <mergeCell ref="A81:H81"/>
    <mergeCell ref="A82:H82"/>
    <mergeCell ref="A83:A87"/>
    <mergeCell ref="B83:B87"/>
    <mergeCell ref="C83:C87"/>
    <mergeCell ref="D83:D87"/>
    <mergeCell ref="E83:H83"/>
    <mergeCell ref="E84:F86"/>
    <mergeCell ref="G84:H86"/>
    <mergeCell ref="A65:H65"/>
    <mergeCell ref="A67:H67"/>
    <mergeCell ref="A68:A72"/>
    <mergeCell ref="B68:B72"/>
    <mergeCell ref="C68:C72"/>
    <mergeCell ref="D68:D72"/>
    <mergeCell ref="E68:H68"/>
    <mergeCell ref="E69:F71"/>
    <mergeCell ref="G69:H71"/>
    <mergeCell ref="A30:H30"/>
    <mergeCell ref="A31:H31"/>
    <mergeCell ref="A32:H32"/>
    <mergeCell ref="A33:A37"/>
    <mergeCell ref="B33:B37"/>
    <mergeCell ref="C33:C37"/>
    <mergeCell ref="D33:D37"/>
    <mergeCell ref="E33:H33"/>
    <mergeCell ref="E34:F36"/>
    <mergeCell ref="G34:H36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G5:H7"/>
    <mergeCell ref="A45:H45"/>
    <mergeCell ref="A47:H47"/>
    <mergeCell ref="A48:A52"/>
    <mergeCell ref="B48:B52"/>
    <mergeCell ref="C48:C52"/>
    <mergeCell ref="D48:D52"/>
    <mergeCell ref="E48:H48"/>
    <mergeCell ref="E49:F51"/>
    <mergeCell ref="G49:H51"/>
    <mergeCell ref="A46:H46"/>
  </mergeCells>
  <pageMargins left="0.7" right="0.16" top="0.3" bottom="0.3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24"/>
  <sheetViews>
    <sheetView topLeftCell="A49" zoomScale="62" zoomScaleNormal="62" workbookViewId="0">
      <selection activeCell="F67" sqref="F67"/>
    </sheetView>
  </sheetViews>
  <sheetFormatPr defaultColWidth="9.109375" defaultRowHeight="21"/>
  <cols>
    <col min="1" max="1" width="91.44140625" style="300" customWidth="1"/>
    <col min="2" max="2" width="14.88671875" style="298" customWidth="1"/>
    <col min="3" max="3" width="18.109375" style="298" customWidth="1"/>
    <col min="4" max="4" width="18" style="298" customWidth="1"/>
    <col min="5" max="5" width="18.5546875" style="298" customWidth="1"/>
    <col min="6" max="6" width="18.109375" style="300" customWidth="1"/>
    <col min="7" max="7" width="18" style="300" customWidth="1"/>
    <col min="8" max="8" width="18.44140625" style="300" customWidth="1"/>
    <col min="9" max="9" width="19" style="300" customWidth="1"/>
    <col min="10" max="10" width="18.109375" style="300" customWidth="1"/>
    <col min="11" max="11" width="29.5546875" style="300" customWidth="1"/>
    <col min="12" max="16384" width="9.109375" style="300"/>
  </cols>
  <sheetData>
    <row r="1" spans="1:11">
      <c r="K1" s="87" t="s">
        <v>354</v>
      </c>
    </row>
    <row r="2" spans="1:11" ht="22.8">
      <c r="A2" s="538" t="s">
        <v>169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</row>
    <row r="3" spans="1:11" ht="26.25" customHeight="1">
      <c r="A3" s="249"/>
      <c r="B3" s="324"/>
      <c r="C3" s="249"/>
      <c r="D3" s="249"/>
      <c r="E3" s="324"/>
      <c r="F3" s="249"/>
      <c r="G3" s="249"/>
      <c r="H3" s="249"/>
      <c r="I3" s="249"/>
      <c r="J3" s="338" t="s">
        <v>360</v>
      </c>
    </row>
    <row r="4" spans="1:11" ht="36" customHeight="1">
      <c r="A4" s="553" t="s">
        <v>164</v>
      </c>
      <c r="B4" s="551" t="s">
        <v>17</v>
      </c>
      <c r="C4" s="546" t="s">
        <v>673</v>
      </c>
      <c r="D4" s="546" t="s">
        <v>674</v>
      </c>
      <c r="E4" s="544" t="s">
        <v>675</v>
      </c>
      <c r="F4" s="551" t="s">
        <v>676</v>
      </c>
      <c r="G4" s="551" t="s">
        <v>329</v>
      </c>
      <c r="H4" s="551"/>
      <c r="I4" s="551"/>
      <c r="J4" s="551"/>
      <c r="K4" s="551" t="s">
        <v>153</v>
      </c>
    </row>
    <row r="5" spans="1:11" ht="72" customHeight="1">
      <c r="A5" s="553"/>
      <c r="B5" s="551"/>
      <c r="C5" s="547"/>
      <c r="D5" s="547"/>
      <c r="E5" s="545"/>
      <c r="F5" s="551"/>
      <c r="G5" s="305" t="s">
        <v>126</v>
      </c>
      <c r="H5" s="305" t="s">
        <v>127</v>
      </c>
      <c r="I5" s="305" t="s">
        <v>128</v>
      </c>
      <c r="J5" s="305" t="s">
        <v>63</v>
      </c>
      <c r="K5" s="551"/>
    </row>
    <row r="6" spans="1:11" ht="30.75" customHeight="1">
      <c r="A6" s="303">
        <v>1</v>
      </c>
      <c r="B6" s="304">
        <v>2</v>
      </c>
      <c r="C6" s="304">
        <v>3</v>
      </c>
      <c r="D6" s="304">
        <v>4</v>
      </c>
      <c r="E6" s="304">
        <v>5</v>
      </c>
      <c r="F6" s="304">
        <v>6</v>
      </c>
      <c r="G6" s="304">
        <v>7</v>
      </c>
      <c r="H6" s="304">
        <v>8</v>
      </c>
      <c r="I6" s="304">
        <v>9</v>
      </c>
      <c r="J6" s="304">
        <v>10</v>
      </c>
      <c r="K6" s="304">
        <v>11</v>
      </c>
    </row>
    <row r="7" spans="1:11" s="311" customFormat="1" ht="33" customHeight="1">
      <c r="A7" s="564" t="s">
        <v>168</v>
      </c>
      <c r="B7" s="565"/>
      <c r="C7" s="565"/>
      <c r="D7" s="565"/>
      <c r="E7" s="565"/>
      <c r="F7" s="565"/>
      <c r="G7" s="565"/>
      <c r="H7" s="565"/>
      <c r="I7" s="565"/>
      <c r="J7" s="565"/>
      <c r="K7" s="566"/>
    </row>
    <row r="8" spans="1:11" s="311" customFormat="1" ht="29.25" customHeight="1">
      <c r="A8" s="322" t="s">
        <v>138</v>
      </c>
      <c r="B8" s="56">
        <v>1000</v>
      </c>
      <c r="C8" s="40">
        <v>100735</v>
      </c>
      <c r="D8" s="40">
        <v>119752</v>
      </c>
      <c r="E8" s="40">
        <f>D8</f>
        <v>119752</v>
      </c>
      <c r="F8" s="40">
        <f>SUM(G8:J8)</f>
        <v>139512</v>
      </c>
      <c r="G8" s="40">
        <v>34878</v>
      </c>
      <c r="H8" s="40">
        <v>34878</v>
      </c>
      <c r="I8" s="40">
        <v>34878</v>
      </c>
      <c r="J8" s="40">
        <v>34878</v>
      </c>
      <c r="K8" s="321"/>
    </row>
    <row r="9" spans="1:11" s="311" customFormat="1" ht="29.25" customHeight="1">
      <c r="A9" s="322" t="s">
        <v>119</v>
      </c>
      <c r="B9" s="56">
        <v>1010</v>
      </c>
      <c r="C9" s="40">
        <f>SUM(C10:C17)</f>
        <v>-90529</v>
      </c>
      <c r="D9" s="40">
        <f>SUM(D10:D17)</f>
        <v>-101944</v>
      </c>
      <c r="E9" s="40">
        <f t="shared" ref="E9:E72" si="0">D9</f>
        <v>-101944</v>
      </c>
      <c r="F9" s="40">
        <f>SUM(G9:J9)</f>
        <v>-122536</v>
      </c>
      <c r="G9" s="40">
        <f>SUM(G10:G17)</f>
        <v>-30634</v>
      </c>
      <c r="H9" s="40">
        <f>SUM(H10:H17)</f>
        <v>-30634</v>
      </c>
      <c r="I9" s="40">
        <f>SUM(I10:I17)</f>
        <v>-30634</v>
      </c>
      <c r="J9" s="40">
        <f>SUM(J10:J17)</f>
        <v>-30634</v>
      </c>
      <c r="K9" s="321"/>
    </row>
    <row r="10" spans="1:11" s="28" customFormat="1" ht="30.75" customHeight="1">
      <c r="A10" s="315" t="s">
        <v>303</v>
      </c>
      <c r="B10" s="304">
        <v>1011</v>
      </c>
      <c r="C10" s="38">
        <v>-31602</v>
      </c>
      <c r="D10" s="38">
        <v>-34492</v>
      </c>
      <c r="E10" s="38">
        <v>-43225</v>
      </c>
      <c r="F10" s="38">
        <f>SUM(G10:J10)</f>
        <v>-59516</v>
      </c>
      <c r="G10" s="38">
        <v>-14879</v>
      </c>
      <c r="H10" s="38">
        <v>-14879</v>
      </c>
      <c r="I10" s="38">
        <v>-14879</v>
      </c>
      <c r="J10" s="38">
        <v>-14879</v>
      </c>
      <c r="K10" s="323"/>
    </row>
    <row r="11" spans="1:11" s="28" customFormat="1" ht="30.75" customHeight="1">
      <c r="A11" s="315" t="s">
        <v>393</v>
      </c>
      <c r="B11" s="304">
        <v>1012</v>
      </c>
      <c r="C11" s="38"/>
      <c r="D11" s="38">
        <v>0</v>
      </c>
      <c r="E11" s="38">
        <f t="shared" si="0"/>
        <v>0</v>
      </c>
      <c r="F11" s="38">
        <f t="shared" ref="F11:F17" si="1">SUM(G11:J11)</f>
        <v>0</v>
      </c>
      <c r="G11" s="38" t="s">
        <v>197</v>
      </c>
      <c r="H11" s="38" t="s">
        <v>197</v>
      </c>
      <c r="I11" s="38" t="s">
        <v>197</v>
      </c>
      <c r="J11" s="38" t="s">
        <v>197</v>
      </c>
      <c r="K11" s="323"/>
    </row>
    <row r="12" spans="1:11" s="28" customFormat="1" ht="30.75" customHeight="1">
      <c r="A12" s="315" t="s">
        <v>304</v>
      </c>
      <c r="B12" s="304">
        <v>1013</v>
      </c>
      <c r="C12" s="38">
        <v>-191</v>
      </c>
      <c r="D12" s="38">
        <v>-148</v>
      </c>
      <c r="E12" s="38">
        <v>-613</v>
      </c>
      <c r="F12" s="38">
        <f t="shared" si="1"/>
        <v>-796</v>
      </c>
      <c r="G12" s="38">
        <v>-199</v>
      </c>
      <c r="H12" s="38">
        <v>-199</v>
      </c>
      <c r="I12" s="38">
        <v>-199</v>
      </c>
      <c r="J12" s="38">
        <v>-199</v>
      </c>
      <c r="K12" s="323"/>
    </row>
    <row r="13" spans="1:11" s="28" customFormat="1" ht="30.75" customHeight="1">
      <c r="A13" s="315" t="s">
        <v>5</v>
      </c>
      <c r="B13" s="304">
        <v>1014</v>
      </c>
      <c r="C13" s="38">
        <v>-31170</v>
      </c>
      <c r="D13" s="38">
        <v>-39256</v>
      </c>
      <c r="E13" s="38">
        <v>-32251</v>
      </c>
      <c r="F13" s="38">
        <f>SUM(G13:J13)</f>
        <v>-32292</v>
      </c>
      <c r="G13" s="38">
        <v>-8073</v>
      </c>
      <c r="H13" s="38">
        <v>-8073</v>
      </c>
      <c r="I13" s="38">
        <v>-8073</v>
      </c>
      <c r="J13" s="38">
        <v>-8073</v>
      </c>
      <c r="K13" s="442"/>
    </row>
    <row r="14" spans="1:11" s="28" customFormat="1" ht="30.75" customHeight="1">
      <c r="A14" s="315" t="s">
        <v>6</v>
      </c>
      <c r="B14" s="304">
        <v>1015</v>
      </c>
      <c r="C14" s="38">
        <v>-6747</v>
      </c>
      <c r="D14" s="38">
        <v>-8636</v>
      </c>
      <c r="E14" s="38">
        <v>-7095</v>
      </c>
      <c r="F14" s="38">
        <f t="shared" si="1"/>
        <v>-7104</v>
      </c>
      <c r="G14" s="38">
        <f>G13*0.22</f>
        <v>-1776</v>
      </c>
      <c r="H14" s="38">
        <f t="shared" ref="H14:J14" si="2">H13*0.22</f>
        <v>-1776</v>
      </c>
      <c r="I14" s="38">
        <f t="shared" si="2"/>
        <v>-1776</v>
      </c>
      <c r="J14" s="38">
        <f t="shared" si="2"/>
        <v>-1776</v>
      </c>
      <c r="K14" s="442"/>
    </row>
    <row r="15" spans="1:11" s="28" customFormat="1" ht="62.25" customHeight="1">
      <c r="A15" s="315" t="s">
        <v>305</v>
      </c>
      <c r="B15" s="304">
        <v>1016</v>
      </c>
      <c r="C15" s="38">
        <v>-1233</v>
      </c>
      <c r="D15" s="38">
        <v>-1072</v>
      </c>
      <c r="E15" s="38">
        <v>-420</v>
      </c>
      <c r="F15" s="38">
        <f t="shared" si="1"/>
        <v>-548</v>
      </c>
      <c r="G15" s="38">
        <v>-137</v>
      </c>
      <c r="H15" s="38">
        <v>-137</v>
      </c>
      <c r="I15" s="38">
        <v>-137</v>
      </c>
      <c r="J15" s="38">
        <v>-137</v>
      </c>
      <c r="K15" s="323"/>
    </row>
    <row r="16" spans="1:11" s="28" customFormat="1" ht="30.75" customHeight="1">
      <c r="A16" s="315" t="s">
        <v>306</v>
      </c>
      <c r="B16" s="304">
        <v>1017</v>
      </c>
      <c r="C16" s="38">
        <v>-6116</v>
      </c>
      <c r="D16" s="38">
        <v>-5968</v>
      </c>
      <c r="E16" s="38">
        <f t="shared" si="0"/>
        <v>-5968</v>
      </c>
      <c r="F16" s="38">
        <f t="shared" si="1"/>
        <v>-5480</v>
      </c>
      <c r="G16" s="38">
        <v>-1370</v>
      </c>
      <c r="H16" s="38">
        <v>-1370</v>
      </c>
      <c r="I16" s="38">
        <v>-1370</v>
      </c>
      <c r="J16" s="38">
        <v>-1370</v>
      </c>
      <c r="K16" s="323"/>
    </row>
    <row r="17" spans="1:11" s="28" customFormat="1" ht="30.75" customHeight="1">
      <c r="A17" s="315" t="s">
        <v>307</v>
      </c>
      <c r="B17" s="304">
        <v>1018</v>
      </c>
      <c r="C17" s="38">
        <v>-13470</v>
      </c>
      <c r="D17" s="38">
        <v>-12372</v>
      </c>
      <c r="E17" s="38">
        <f t="shared" si="0"/>
        <v>-12372</v>
      </c>
      <c r="F17" s="38">
        <f t="shared" si="1"/>
        <v>-16800</v>
      </c>
      <c r="G17" s="38">
        <v>-4200</v>
      </c>
      <c r="H17" s="38">
        <v>-4200</v>
      </c>
      <c r="I17" s="38">
        <v>-4200</v>
      </c>
      <c r="J17" s="38">
        <v>-4200</v>
      </c>
      <c r="K17" s="323"/>
    </row>
    <row r="18" spans="1:11" s="311" customFormat="1" ht="29.25" customHeight="1">
      <c r="A18" s="322" t="s">
        <v>22</v>
      </c>
      <c r="B18" s="56">
        <v>1020</v>
      </c>
      <c r="C18" s="40">
        <f>SUM(C8,C9)</f>
        <v>10206</v>
      </c>
      <c r="D18" s="40">
        <f t="shared" ref="D18:J18" si="3">SUM(D8,D9)</f>
        <v>17808</v>
      </c>
      <c r="E18" s="40">
        <f t="shared" si="0"/>
        <v>17808</v>
      </c>
      <c r="F18" s="40">
        <f t="shared" si="3"/>
        <v>16976</v>
      </c>
      <c r="G18" s="40">
        <f>SUM(G8,G9)</f>
        <v>4244</v>
      </c>
      <c r="H18" s="40">
        <f t="shared" si="3"/>
        <v>4244</v>
      </c>
      <c r="I18" s="40">
        <f t="shared" si="3"/>
        <v>4244</v>
      </c>
      <c r="J18" s="40">
        <f t="shared" si="3"/>
        <v>4244</v>
      </c>
      <c r="K18" s="321"/>
    </row>
    <row r="19" spans="1:11" s="28" customFormat="1" ht="30.75" customHeight="1">
      <c r="A19" s="322" t="s">
        <v>149</v>
      </c>
      <c r="B19" s="314">
        <v>1030</v>
      </c>
      <c r="C19" s="40">
        <f>SUM(C20:C37,C39)</f>
        <v>-7827</v>
      </c>
      <c r="D19" s="40">
        <f>SUM(D20:D37,D39)</f>
        <v>-9392</v>
      </c>
      <c r="E19" s="40">
        <f t="shared" si="0"/>
        <v>-9392</v>
      </c>
      <c r="F19" s="40">
        <f>SUM(G19:J19)</f>
        <v>-11320</v>
      </c>
      <c r="G19" s="40">
        <f>SUM(G20:G37,G39)</f>
        <v>-2830</v>
      </c>
      <c r="H19" s="40">
        <f>SUM(H20:H37,H39)</f>
        <v>-2830</v>
      </c>
      <c r="I19" s="40">
        <f>SUM(I20:I37,I39)</f>
        <v>-2830</v>
      </c>
      <c r="J19" s="40">
        <f>SUM(J20:J37,J39)</f>
        <v>-2830</v>
      </c>
      <c r="K19" s="321"/>
    </row>
    <row r="20" spans="1:11" s="28" customFormat="1" ht="30.75" customHeight="1">
      <c r="A20" s="315" t="s">
        <v>86</v>
      </c>
      <c r="B20" s="304">
        <v>1031</v>
      </c>
      <c r="C20" s="38">
        <v>0</v>
      </c>
      <c r="D20" s="38">
        <v>0</v>
      </c>
      <c r="E20" s="38">
        <f t="shared" si="0"/>
        <v>0</v>
      </c>
      <c r="F20" s="38">
        <f t="shared" ref="F20:F72" si="4">SUM(G20:J20)</f>
        <v>0</v>
      </c>
      <c r="G20" s="38" t="s">
        <v>197</v>
      </c>
      <c r="H20" s="38" t="s">
        <v>197</v>
      </c>
      <c r="I20" s="38" t="s">
        <v>197</v>
      </c>
      <c r="J20" s="38" t="s">
        <v>197</v>
      </c>
      <c r="K20" s="323"/>
    </row>
    <row r="21" spans="1:11" s="28" customFormat="1" ht="30.75" customHeight="1">
      <c r="A21" s="315" t="s">
        <v>139</v>
      </c>
      <c r="B21" s="304">
        <v>1032</v>
      </c>
      <c r="C21" s="38">
        <v>0</v>
      </c>
      <c r="D21" s="38">
        <v>0</v>
      </c>
      <c r="E21" s="38">
        <f t="shared" si="0"/>
        <v>0</v>
      </c>
      <c r="F21" s="38">
        <f t="shared" si="4"/>
        <v>0</v>
      </c>
      <c r="G21" s="38" t="s">
        <v>197</v>
      </c>
      <c r="H21" s="38" t="s">
        <v>197</v>
      </c>
      <c r="I21" s="38" t="s">
        <v>197</v>
      </c>
      <c r="J21" s="38" t="s">
        <v>197</v>
      </c>
      <c r="K21" s="323"/>
    </row>
    <row r="22" spans="1:11" s="28" customFormat="1" ht="30.75" customHeight="1">
      <c r="A22" s="315" t="s">
        <v>21</v>
      </c>
      <c r="B22" s="304">
        <v>1033</v>
      </c>
      <c r="C22" s="38">
        <v>0</v>
      </c>
      <c r="D22" s="38">
        <v>0</v>
      </c>
      <c r="E22" s="38">
        <f t="shared" si="0"/>
        <v>0</v>
      </c>
      <c r="F22" s="38">
        <f t="shared" si="4"/>
        <v>0</v>
      </c>
      <c r="G22" s="38" t="s">
        <v>197</v>
      </c>
      <c r="H22" s="38" t="s">
        <v>197</v>
      </c>
      <c r="I22" s="38" t="s">
        <v>197</v>
      </c>
      <c r="J22" s="38" t="s">
        <v>197</v>
      </c>
      <c r="K22" s="323"/>
    </row>
    <row r="23" spans="1:11" s="28" customFormat="1" ht="30.75" customHeight="1">
      <c r="A23" s="315" t="s">
        <v>31</v>
      </c>
      <c r="B23" s="304">
        <v>1034</v>
      </c>
      <c r="C23" s="38">
        <v>0</v>
      </c>
      <c r="D23" s="38">
        <v>0</v>
      </c>
      <c r="E23" s="38">
        <f t="shared" si="0"/>
        <v>0</v>
      </c>
      <c r="F23" s="38">
        <f t="shared" si="4"/>
        <v>0</v>
      </c>
      <c r="G23" s="38" t="s">
        <v>197</v>
      </c>
      <c r="H23" s="38" t="s">
        <v>197</v>
      </c>
      <c r="I23" s="38" t="s">
        <v>197</v>
      </c>
      <c r="J23" s="38" t="s">
        <v>197</v>
      </c>
      <c r="K23" s="323"/>
    </row>
    <row r="24" spans="1:11" s="28" customFormat="1" ht="30.75" customHeight="1">
      <c r="A24" s="315" t="s">
        <v>32</v>
      </c>
      <c r="B24" s="304">
        <v>1035</v>
      </c>
      <c r="C24" s="38">
        <v>-14</v>
      </c>
      <c r="D24" s="38">
        <v>-16</v>
      </c>
      <c r="E24" s="38">
        <f t="shared" si="0"/>
        <v>-16</v>
      </c>
      <c r="F24" s="38">
        <f t="shared" si="4"/>
        <v>-24</v>
      </c>
      <c r="G24" s="38">
        <v>-6</v>
      </c>
      <c r="H24" s="38">
        <v>-6</v>
      </c>
      <c r="I24" s="38">
        <v>-6</v>
      </c>
      <c r="J24" s="38">
        <v>-6</v>
      </c>
      <c r="K24" s="323"/>
    </row>
    <row r="25" spans="1:11" s="28" customFormat="1" ht="30.75" customHeight="1">
      <c r="A25" s="315" t="s">
        <v>33</v>
      </c>
      <c r="B25" s="304">
        <v>1036</v>
      </c>
      <c r="C25" s="38">
        <v>-5459</v>
      </c>
      <c r="D25" s="38">
        <v>-6580</v>
      </c>
      <c r="E25" s="38">
        <f t="shared" si="0"/>
        <v>-6580</v>
      </c>
      <c r="F25" s="38">
        <f t="shared" si="4"/>
        <v>-7800</v>
      </c>
      <c r="G25" s="38">
        <v>-1950</v>
      </c>
      <c r="H25" s="38">
        <v>-1950</v>
      </c>
      <c r="I25" s="38">
        <v>-1950</v>
      </c>
      <c r="J25" s="38">
        <v>-1950</v>
      </c>
      <c r="K25" s="442"/>
    </row>
    <row r="26" spans="1:11" s="28" customFormat="1" ht="30.75" customHeight="1">
      <c r="A26" s="315" t="s">
        <v>34</v>
      </c>
      <c r="B26" s="304">
        <v>1037</v>
      </c>
      <c r="C26" s="38">
        <v>-1011</v>
      </c>
      <c r="D26" s="38">
        <v>-1448</v>
      </c>
      <c r="E26" s="38">
        <f t="shared" si="0"/>
        <v>-1448</v>
      </c>
      <c r="F26" s="38">
        <f t="shared" si="4"/>
        <v>-1716</v>
      </c>
      <c r="G26" s="38">
        <f>G25*0.22</f>
        <v>-429</v>
      </c>
      <c r="H26" s="38">
        <f t="shared" ref="H26:J26" si="5">H25*0.22</f>
        <v>-429</v>
      </c>
      <c r="I26" s="38">
        <f t="shared" si="5"/>
        <v>-429</v>
      </c>
      <c r="J26" s="38">
        <f t="shared" si="5"/>
        <v>-429</v>
      </c>
      <c r="K26" s="323"/>
    </row>
    <row r="27" spans="1:11" s="28" customFormat="1" ht="47.25" customHeight="1">
      <c r="A27" s="315" t="s">
        <v>35</v>
      </c>
      <c r="B27" s="42">
        <v>1038</v>
      </c>
      <c r="C27" s="38">
        <v>-44</v>
      </c>
      <c r="D27" s="38">
        <v>-48</v>
      </c>
      <c r="E27" s="38">
        <f t="shared" si="0"/>
        <v>-48</v>
      </c>
      <c r="F27" s="38">
        <f t="shared" si="4"/>
        <v>-68</v>
      </c>
      <c r="G27" s="38">
        <v>-17</v>
      </c>
      <c r="H27" s="38">
        <v>-17</v>
      </c>
      <c r="I27" s="38">
        <v>-17</v>
      </c>
      <c r="J27" s="38">
        <v>-17</v>
      </c>
      <c r="K27" s="323"/>
    </row>
    <row r="28" spans="1:11" s="28" customFormat="1" ht="51" customHeight="1">
      <c r="A28" s="315" t="s">
        <v>36</v>
      </c>
      <c r="B28" s="42">
        <v>1039</v>
      </c>
      <c r="C28" s="38">
        <v>0</v>
      </c>
      <c r="D28" s="38">
        <v>0</v>
      </c>
      <c r="E28" s="38">
        <f t="shared" si="0"/>
        <v>0</v>
      </c>
      <c r="F28" s="38">
        <f t="shared" si="4"/>
        <v>0</v>
      </c>
      <c r="G28" s="38" t="s">
        <v>197</v>
      </c>
      <c r="H28" s="38" t="s">
        <v>197</v>
      </c>
      <c r="I28" s="38" t="s">
        <v>197</v>
      </c>
      <c r="J28" s="38" t="s">
        <v>197</v>
      </c>
      <c r="K28" s="323"/>
    </row>
    <row r="29" spans="1:11" s="28" customFormat="1" ht="30.75" customHeight="1">
      <c r="A29" s="315" t="s">
        <v>37</v>
      </c>
      <c r="B29" s="304">
        <v>1040</v>
      </c>
      <c r="C29" s="38">
        <v>0</v>
      </c>
      <c r="D29" s="38">
        <v>0</v>
      </c>
      <c r="E29" s="38">
        <f t="shared" si="0"/>
        <v>0</v>
      </c>
      <c r="F29" s="38">
        <f t="shared" si="4"/>
        <v>0</v>
      </c>
      <c r="G29" s="38" t="s">
        <v>197</v>
      </c>
      <c r="H29" s="38" t="s">
        <v>197</v>
      </c>
      <c r="I29" s="38" t="s">
        <v>197</v>
      </c>
      <c r="J29" s="38" t="s">
        <v>197</v>
      </c>
      <c r="K29" s="323"/>
    </row>
    <row r="30" spans="1:11" s="28" customFormat="1" ht="30.75" customHeight="1">
      <c r="A30" s="315" t="s">
        <v>38</v>
      </c>
      <c r="B30" s="304">
        <v>1041</v>
      </c>
      <c r="C30" s="38">
        <v>0</v>
      </c>
      <c r="D30" s="38">
        <v>0</v>
      </c>
      <c r="E30" s="38">
        <f t="shared" si="0"/>
        <v>0</v>
      </c>
      <c r="F30" s="38">
        <f t="shared" si="4"/>
        <v>0</v>
      </c>
      <c r="G30" s="38" t="s">
        <v>197</v>
      </c>
      <c r="H30" s="38" t="s">
        <v>197</v>
      </c>
      <c r="I30" s="38" t="s">
        <v>197</v>
      </c>
      <c r="J30" s="38" t="s">
        <v>197</v>
      </c>
      <c r="K30" s="323"/>
    </row>
    <row r="31" spans="1:11" s="28" customFormat="1" ht="30.75" customHeight="1">
      <c r="A31" s="315" t="s">
        <v>39</v>
      </c>
      <c r="B31" s="304">
        <v>1042</v>
      </c>
      <c r="C31" s="428">
        <v>-1</v>
      </c>
      <c r="D31" s="38">
        <v>0</v>
      </c>
      <c r="E31" s="38">
        <f t="shared" si="0"/>
        <v>0</v>
      </c>
      <c r="F31" s="38">
        <f t="shared" si="4"/>
        <v>0</v>
      </c>
      <c r="G31" s="38" t="s">
        <v>197</v>
      </c>
      <c r="H31" s="38" t="s">
        <v>197</v>
      </c>
      <c r="I31" s="38" t="s">
        <v>197</v>
      </c>
      <c r="J31" s="38" t="s">
        <v>197</v>
      </c>
      <c r="K31" s="323"/>
    </row>
    <row r="32" spans="1:11" s="28" customFormat="1" ht="30.75" customHeight="1">
      <c r="A32" s="315" t="s">
        <v>55</v>
      </c>
      <c r="B32" s="304">
        <v>1043</v>
      </c>
      <c r="C32" s="38">
        <v>-51</v>
      </c>
      <c r="D32" s="38">
        <v>-48</v>
      </c>
      <c r="E32" s="38">
        <f t="shared" si="0"/>
        <v>-48</v>
      </c>
      <c r="F32" s="38">
        <f t="shared" si="4"/>
        <v>-60</v>
      </c>
      <c r="G32" s="38">
        <v>-15</v>
      </c>
      <c r="H32" s="38">
        <v>-15</v>
      </c>
      <c r="I32" s="38">
        <v>-15</v>
      </c>
      <c r="J32" s="38">
        <v>-15</v>
      </c>
      <c r="K32" s="323"/>
    </row>
    <row r="33" spans="1:11" s="28" customFormat="1" ht="30.75" customHeight="1">
      <c r="A33" s="315" t="s">
        <v>40</v>
      </c>
      <c r="B33" s="304">
        <v>1044</v>
      </c>
      <c r="C33" s="38">
        <v>0</v>
      </c>
      <c r="D33" s="38">
        <v>0</v>
      </c>
      <c r="E33" s="38">
        <f t="shared" si="0"/>
        <v>0</v>
      </c>
      <c r="F33" s="38">
        <f t="shared" si="4"/>
        <v>0</v>
      </c>
      <c r="G33" s="38" t="s">
        <v>197</v>
      </c>
      <c r="H33" s="38" t="s">
        <v>197</v>
      </c>
      <c r="I33" s="38" t="s">
        <v>197</v>
      </c>
      <c r="J33" s="38" t="s">
        <v>197</v>
      </c>
      <c r="K33" s="323"/>
    </row>
    <row r="34" spans="1:11" s="28" customFormat="1" ht="30.75" customHeight="1">
      <c r="A34" s="315" t="s">
        <v>41</v>
      </c>
      <c r="B34" s="304">
        <v>1045</v>
      </c>
      <c r="C34" s="38">
        <v>0</v>
      </c>
      <c r="D34" s="38">
        <v>0</v>
      </c>
      <c r="E34" s="38">
        <f t="shared" si="0"/>
        <v>0</v>
      </c>
      <c r="F34" s="38">
        <f t="shared" si="4"/>
        <v>0</v>
      </c>
      <c r="G34" s="38" t="s">
        <v>197</v>
      </c>
      <c r="H34" s="38" t="s">
        <v>197</v>
      </c>
      <c r="I34" s="38" t="s">
        <v>197</v>
      </c>
      <c r="J34" s="38" t="s">
        <v>197</v>
      </c>
      <c r="K34" s="323"/>
    </row>
    <row r="35" spans="1:11" s="28" customFormat="1" ht="30.75" customHeight="1">
      <c r="A35" s="315" t="s">
        <v>42</v>
      </c>
      <c r="B35" s="304">
        <v>1046</v>
      </c>
      <c r="C35" s="38">
        <v>0</v>
      </c>
      <c r="D35" s="38">
        <v>0</v>
      </c>
      <c r="E35" s="38">
        <f t="shared" si="0"/>
        <v>0</v>
      </c>
      <c r="F35" s="38">
        <f t="shared" si="4"/>
        <v>0</v>
      </c>
      <c r="G35" s="38" t="s">
        <v>197</v>
      </c>
      <c r="H35" s="38" t="s">
        <v>197</v>
      </c>
      <c r="I35" s="38" t="s">
        <v>197</v>
      </c>
      <c r="J35" s="38" t="s">
        <v>197</v>
      </c>
      <c r="K35" s="323"/>
    </row>
    <row r="36" spans="1:11" s="28" customFormat="1" ht="30.75" customHeight="1">
      <c r="A36" s="315" t="s">
        <v>43</v>
      </c>
      <c r="B36" s="304">
        <v>1047</v>
      </c>
      <c r="C36" s="38">
        <v>0</v>
      </c>
      <c r="D36" s="38">
        <v>0</v>
      </c>
      <c r="E36" s="38">
        <f t="shared" si="0"/>
        <v>0</v>
      </c>
      <c r="F36" s="38">
        <f t="shared" si="4"/>
        <v>0</v>
      </c>
      <c r="G36" s="38" t="s">
        <v>197</v>
      </c>
      <c r="H36" s="38" t="s">
        <v>197</v>
      </c>
      <c r="I36" s="38" t="s">
        <v>197</v>
      </c>
      <c r="J36" s="38" t="s">
        <v>197</v>
      </c>
      <c r="K36" s="323"/>
    </row>
    <row r="37" spans="1:11" s="28" customFormat="1" ht="51" customHeight="1">
      <c r="A37" s="315" t="s">
        <v>67</v>
      </c>
      <c r="B37" s="304">
        <v>1048</v>
      </c>
      <c r="C37" s="428">
        <v>-34</v>
      </c>
      <c r="D37" s="38">
        <v>-24</v>
      </c>
      <c r="E37" s="38">
        <f t="shared" si="0"/>
        <v>-24</v>
      </c>
      <c r="F37" s="38">
        <f t="shared" si="4"/>
        <v>-52</v>
      </c>
      <c r="G37" s="38">
        <v>-13</v>
      </c>
      <c r="H37" s="38">
        <v>-13</v>
      </c>
      <c r="I37" s="38">
        <v>-13</v>
      </c>
      <c r="J37" s="38">
        <v>-13</v>
      </c>
      <c r="K37" s="323"/>
    </row>
    <row r="38" spans="1:11" s="28" customFormat="1" ht="30.75" customHeight="1">
      <c r="A38" s="315" t="s">
        <v>44</v>
      </c>
      <c r="B38" s="304" t="s">
        <v>394</v>
      </c>
      <c r="C38" s="38" t="s">
        <v>519</v>
      </c>
      <c r="D38" s="38">
        <v>-24</v>
      </c>
      <c r="E38" s="38">
        <f t="shared" si="0"/>
        <v>-24</v>
      </c>
      <c r="F38" s="38">
        <f t="shared" si="4"/>
        <v>-52</v>
      </c>
      <c r="G38" s="38">
        <v>-13</v>
      </c>
      <c r="H38" s="38">
        <v>-13</v>
      </c>
      <c r="I38" s="38">
        <v>-13</v>
      </c>
      <c r="J38" s="38">
        <v>-13</v>
      </c>
      <c r="K38" s="323"/>
    </row>
    <row r="39" spans="1:11" s="28" customFormat="1" ht="30.75" customHeight="1">
      <c r="A39" s="315" t="s">
        <v>88</v>
      </c>
      <c r="B39" s="304">
        <v>1049</v>
      </c>
      <c r="C39" s="38">
        <v>-1213</v>
      </c>
      <c r="D39" s="38">
        <v>-1228</v>
      </c>
      <c r="E39" s="38">
        <f t="shared" si="0"/>
        <v>-1228</v>
      </c>
      <c r="F39" s="38">
        <f t="shared" si="4"/>
        <v>-1600</v>
      </c>
      <c r="G39" s="38">
        <v>-400</v>
      </c>
      <c r="H39" s="38">
        <v>-400</v>
      </c>
      <c r="I39" s="38">
        <v>-400</v>
      </c>
      <c r="J39" s="38">
        <v>-400</v>
      </c>
      <c r="K39" s="323"/>
    </row>
    <row r="40" spans="1:11" s="28" customFormat="1" ht="30.75" customHeight="1">
      <c r="A40" s="322" t="s">
        <v>150</v>
      </c>
      <c r="B40" s="314">
        <v>1060</v>
      </c>
      <c r="C40" s="40">
        <f>SUM(C41:C47)</f>
        <v>0</v>
      </c>
      <c r="D40" s="40">
        <v>0</v>
      </c>
      <c r="E40" s="40">
        <f t="shared" si="0"/>
        <v>0</v>
      </c>
      <c r="F40" s="40">
        <f t="shared" si="4"/>
        <v>0</v>
      </c>
      <c r="G40" s="40">
        <f t="shared" ref="G40:J40" si="6">SUM(G41:G47)</f>
        <v>0</v>
      </c>
      <c r="H40" s="40">
        <f t="shared" si="6"/>
        <v>0</v>
      </c>
      <c r="I40" s="40">
        <f t="shared" si="6"/>
        <v>0</v>
      </c>
      <c r="J40" s="40">
        <f t="shared" si="6"/>
        <v>0</v>
      </c>
      <c r="K40" s="321"/>
    </row>
    <row r="41" spans="1:11" s="28" customFormat="1" ht="30.75" customHeight="1">
      <c r="A41" s="315" t="s">
        <v>121</v>
      </c>
      <c r="B41" s="304">
        <v>1061</v>
      </c>
      <c r="C41" s="38">
        <v>0</v>
      </c>
      <c r="D41" s="38">
        <v>0</v>
      </c>
      <c r="E41" s="40">
        <f t="shared" si="0"/>
        <v>0</v>
      </c>
      <c r="F41" s="38">
        <f t="shared" si="4"/>
        <v>0</v>
      </c>
      <c r="G41" s="38" t="s">
        <v>197</v>
      </c>
      <c r="H41" s="38" t="s">
        <v>197</v>
      </c>
      <c r="I41" s="38" t="s">
        <v>197</v>
      </c>
      <c r="J41" s="38" t="s">
        <v>197</v>
      </c>
      <c r="K41" s="323"/>
    </row>
    <row r="42" spans="1:11" s="28" customFormat="1" ht="30.75" customHeight="1">
      <c r="A42" s="315" t="s">
        <v>122</v>
      </c>
      <c r="B42" s="304">
        <v>1062</v>
      </c>
      <c r="C42" s="38">
        <v>0</v>
      </c>
      <c r="D42" s="38">
        <v>0</v>
      </c>
      <c r="E42" s="40">
        <f t="shared" si="0"/>
        <v>0</v>
      </c>
      <c r="F42" s="38">
        <f t="shared" si="4"/>
        <v>0</v>
      </c>
      <c r="G42" s="38" t="s">
        <v>197</v>
      </c>
      <c r="H42" s="38" t="s">
        <v>197</v>
      </c>
      <c r="I42" s="38" t="s">
        <v>197</v>
      </c>
      <c r="J42" s="38" t="s">
        <v>197</v>
      </c>
      <c r="K42" s="323"/>
    </row>
    <row r="43" spans="1:11" s="28" customFormat="1" ht="30.75" customHeight="1">
      <c r="A43" s="315" t="s">
        <v>33</v>
      </c>
      <c r="B43" s="304">
        <v>1063</v>
      </c>
      <c r="C43" s="38">
        <v>0</v>
      </c>
      <c r="D43" s="38">
        <v>0</v>
      </c>
      <c r="E43" s="40">
        <f t="shared" si="0"/>
        <v>0</v>
      </c>
      <c r="F43" s="38">
        <f t="shared" si="4"/>
        <v>0</v>
      </c>
      <c r="G43" s="38" t="s">
        <v>197</v>
      </c>
      <c r="H43" s="38" t="s">
        <v>197</v>
      </c>
      <c r="I43" s="38" t="s">
        <v>197</v>
      </c>
      <c r="J43" s="38" t="s">
        <v>197</v>
      </c>
      <c r="K43" s="323"/>
    </row>
    <row r="44" spans="1:11" s="28" customFormat="1" ht="30.75" customHeight="1">
      <c r="A44" s="315" t="s">
        <v>34</v>
      </c>
      <c r="B44" s="304">
        <v>1064</v>
      </c>
      <c r="C44" s="38">
        <v>0</v>
      </c>
      <c r="D44" s="38">
        <v>0</v>
      </c>
      <c r="E44" s="40">
        <f t="shared" si="0"/>
        <v>0</v>
      </c>
      <c r="F44" s="38">
        <f t="shared" si="4"/>
        <v>0</v>
      </c>
      <c r="G44" s="38" t="s">
        <v>197</v>
      </c>
      <c r="H44" s="38" t="s">
        <v>197</v>
      </c>
      <c r="I44" s="38" t="s">
        <v>197</v>
      </c>
      <c r="J44" s="38" t="s">
        <v>197</v>
      </c>
      <c r="K44" s="323"/>
    </row>
    <row r="45" spans="1:11" s="28" customFormat="1" ht="30.75" customHeight="1">
      <c r="A45" s="315" t="s">
        <v>54</v>
      </c>
      <c r="B45" s="304">
        <v>1065</v>
      </c>
      <c r="C45" s="38">
        <v>0</v>
      </c>
      <c r="D45" s="38">
        <v>0</v>
      </c>
      <c r="E45" s="40">
        <f t="shared" si="0"/>
        <v>0</v>
      </c>
      <c r="F45" s="38">
        <f t="shared" si="4"/>
        <v>0</v>
      </c>
      <c r="G45" s="38" t="s">
        <v>197</v>
      </c>
      <c r="H45" s="38" t="s">
        <v>197</v>
      </c>
      <c r="I45" s="38" t="s">
        <v>197</v>
      </c>
      <c r="J45" s="38" t="s">
        <v>197</v>
      </c>
      <c r="K45" s="323"/>
    </row>
    <row r="46" spans="1:11" s="28" customFormat="1" ht="30.75" customHeight="1">
      <c r="A46" s="315" t="s">
        <v>70</v>
      </c>
      <c r="B46" s="304">
        <v>1066</v>
      </c>
      <c r="C46" s="38">
        <v>0</v>
      </c>
      <c r="D46" s="38">
        <v>0</v>
      </c>
      <c r="E46" s="40">
        <f t="shared" si="0"/>
        <v>0</v>
      </c>
      <c r="F46" s="38">
        <f t="shared" si="4"/>
        <v>0</v>
      </c>
      <c r="G46" s="38" t="s">
        <v>197</v>
      </c>
      <c r="H46" s="38" t="s">
        <v>197</v>
      </c>
      <c r="I46" s="38" t="s">
        <v>197</v>
      </c>
      <c r="J46" s="38" t="s">
        <v>197</v>
      </c>
      <c r="K46" s="323"/>
    </row>
    <row r="47" spans="1:11" s="28" customFormat="1" ht="30.75" customHeight="1">
      <c r="A47" s="315" t="s">
        <v>95</v>
      </c>
      <c r="B47" s="304">
        <v>1067</v>
      </c>
      <c r="C47" s="38">
        <v>0</v>
      </c>
      <c r="D47" s="38">
        <v>0</v>
      </c>
      <c r="E47" s="40">
        <f t="shared" si="0"/>
        <v>0</v>
      </c>
      <c r="F47" s="38">
        <f>SUM(G47:J47)</f>
        <v>0</v>
      </c>
      <c r="G47" s="38" t="s">
        <v>197</v>
      </c>
      <c r="H47" s="38" t="s">
        <v>197</v>
      </c>
      <c r="I47" s="38" t="s">
        <v>197</v>
      </c>
      <c r="J47" s="38" t="s">
        <v>197</v>
      </c>
      <c r="K47" s="323"/>
    </row>
    <row r="48" spans="1:11" s="28" customFormat="1" ht="30.75" customHeight="1">
      <c r="A48" s="322" t="s">
        <v>241</v>
      </c>
      <c r="B48" s="314">
        <v>1070</v>
      </c>
      <c r="C48" s="40">
        <f>SUM(C49:C51)</f>
        <v>276</v>
      </c>
      <c r="D48" s="40">
        <v>0</v>
      </c>
      <c r="E48" s="40">
        <f t="shared" si="0"/>
        <v>0</v>
      </c>
      <c r="F48" s="40">
        <f t="shared" si="4"/>
        <v>0</v>
      </c>
      <c r="G48" s="40">
        <f t="shared" ref="G48:J48" si="7">SUM(G49:G51)</f>
        <v>0</v>
      </c>
      <c r="H48" s="40">
        <f t="shared" si="7"/>
        <v>0</v>
      </c>
      <c r="I48" s="40">
        <f t="shared" si="7"/>
        <v>0</v>
      </c>
      <c r="J48" s="40">
        <f t="shared" si="7"/>
        <v>0</v>
      </c>
      <c r="K48" s="321"/>
    </row>
    <row r="49" spans="1:11" s="28" customFormat="1" ht="30.75" customHeight="1">
      <c r="A49" s="315" t="s">
        <v>146</v>
      </c>
      <c r="B49" s="304">
        <v>1071</v>
      </c>
      <c r="C49" s="38">
        <v>0</v>
      </c>
      <c r="D49" s="38">
        <v>0</v>
      </c>
      <c r="E49" s="40">
        <f t="shared" si="0"/>
        <v>0</v>
      </c>
      <c r="F49" s="38">
        <f t="shared" ref="F49:F56" si="8">SUM(G49:J49)</f>
        <v>0</v>
      </c>
      <c r="G49" s="38">
        <v>0</v>
      </c>
      <c r="H49" s="38">
        <v>0</v>
      </c>
      <c r="I49" s="38">
        <v>0</v>
      </c>
      <c r="J49" s="38">
        <v>0</v>
      </c>
      <c r="K49" s="323"/>
    </row>
    <row r="50" spans="1:11" s="28" customFormat="1" ht="30.75" customHeight="1">
      <c r="A50" s="315" t="s">
        <v>242</v>
      </c>
      <c r="B50" s="304">
        <v>1072</v>
      </c>
      <c r="C50" s="38">
        <v>0</v>
      </c>
      <c r="D50" s="38">
        <v>0</v>
      </c>
      <c r="E50" s="40">
        <f t="shared" si="0"/>
        <v>0</v>
      </c>
      <c r="F50" s="38">
        <f t="shared" si="8"/>
        <v>0</v>
      </c>
      <c r="G50" s="38">
        <v>0</v>
      </c>
      <c r="H50" s="38">
        <v>0</v>
      </c>
      <c r="I50" s="38">
        <v>0</v>
      </c>
      <c r="J50" s="38">
        <v>0</v>
      </c>
      <c r="K50" s="323"/>
    </row>
    <row r="51" spans="1:11" s="28" customFormat="1" ht="30.75" customHeight="1">
      <c r="A51" s="315" t="s">
        <v>243</v>
      </c>
      <c r="B51" s="304">
        <v>1073</v>
      </c>
      <c r="C51" s="38">
        <v>276</v>
      </c>
      <c r="D51" s="38">
        <v>0</v>
      </c>
      <c r="E51" s="38">
        <f t="shared" si="0"/>
        <v>0</v>
      </c>
      <c r="F51" s="38">
        <f t="shared" si="8"/>
        <v>0</v>
      </c>
      <c r="G51" s="38">
        <v>0</v>
      </c>
      <c r="H51" s="38">
        <v>0</v>
      </c>
      <c r="I51" s="38">
        <v>0</v>
      </c>
      <c r="J51" s="38">
        <v>0</v>
      </c>
      <c r="K51" s="323"/>
    </row>
    <row r="52" spans="1:11" s="28" customFormat="1" ht="30.75" customHeight="1">
      <c r="A52" s="322" t="s">
        <v>72</v>
      </c>
      <c r="B52" s="314">
        <v>1080</v>
      </c>
      <c r="C52" s="40">
        <f>SUM(C53:C58)</f>
        <v>-5</v>
      </c>
      <c r="D52" s="40">
        <v>0</v>
      </c>
      <c r="E52" s="40">
        <f t="shared" si="0"/>
        <v>0</v>
      </c>
      <c r="F52" s="40">
        <f t="shared" si="4"/>
        <v>-36</v>
      </c>
      <c r="G52" s="40">
        <f>SUM(G53:G58)</f>
        <v>-9</v>
      </c>
      <c r="H52" s="40">
        <f>SUM(H53:H58)</f>
        <v>-9</v>
      </c>
      <c r="I52" s="40">
        <f>SUM(I53:I58)</f>
        <v>-9</v>
      </c>
      <c r="J52" s="40">
        <f>SUM(J53:J58)</f>
        <v>-9</v>
      </c>
      <c r="K52" s="321"/>
    </row>
    <row r="53" spans="1:11" s="28" customFormat="1" ht="30.75" customHeight="1">
      <c r="A53" s="315" t="s">
        <v>146</v>
      </c>
      <c r="B53" s="304">
        <v>1081</v>
      </c>
      <c r="C53" s="38">
        <v>0</v>
      </c>
      <c r="D53" s="38">
        <v>0</v>
      </c>
      <c r="E53" s="40">
        <f t="shared" si="0"/>
        <v>0</v>
      </c>
      <c r="F53" s="38">
        <f t="shared" si="8"/>
        <v>0</v>
      </c>
      <c r="G53" s="38">
        <v>0</v>
      </c>
      <c r="H53" s="38">
        <v>0</v>
      </c>
      <c r="I53" s="38">
        <v>0</v>
      </c>
      <c r="J53" s="38">
        <v>0</v>
      </c>
      <c r="K53" s="323"/>
    </row>
    <row r="54" spans="1:11" s="28" customFormat="1" ht="30.75" customHeight="1">
      <c r="A54" s="315" t="s">
        <v>244</v>
      </c>
      <c r="B54" s="304">
        <v>1082</v>
      </c>
      <c r="C54" s="38">
        <v>0</v>
      </c>
      <c r="D54" s="38">
        <v>0</v>
      </c>
      <c r="E54" s="40">
        <f t="shared" si="0"/>
        <v>0</v>
      </c>
      <c r="F54" s="38">
        <f t="shared" si="8"/>
        <v>0</v>
      </c>
      <c r="G54" s="38">
        <v>0</v>
      </c>
      <c r="H54" s="38">
        <v>0</v>
      </c>
      <c r="I54" s="38">
        <v>0</v>
      </c>
      <c r="J54" s="38">
        <v>0</v>
      </c>
      <c r="K54" s="323"/>
    </row>
    <row r="55" spans="1:11" s="28" customFormat="1" ht="30.75" customHeight="1">
      <c r="A55" s="315" t="s">
        <v>61</v>
      </c>
      <c r="B55" s="304">
        <v>1083</v>
      </c>
      <c r="C55" s="38">
        <v>0</v>
      </c>
      <c r="D55" s="38">
        <v>0</v>
      </c>
      <c r="E55" s="40">
        <f t="shared" si="0"/>
        <v>0</v>
      </c>
      <c r="F55" s="38">
        <f t="shared" si="8"/>
        <v>0</v>
      </c>
      <c r="G55" s="38" t="s">
        <v>197</v>
      </c>
      <c r="H55" s="38" t="s">
        <v>197</v>
      </c>
      <c r="I55" s="38" t="s">
        <v>197</v>
      </c>
      <c r="J55" s="38" t="s">
        <v>197</v>
      </c>
      <c r="K55" s="323"/>
    </row>
    <row r="56" spans="1:11" s="28" customFormat="1" ht="30.75" customHeight="1">
      <c r="A56" s="315" t="s">
        <v>45</v>
      </c>
      <c r="B56" s="304">
        <v>1084</v>
      </c>
      <c r="C56" s="38">
        <v>0</v>
      </c>
      <c r="D56" s="38">
        <v>0</v>
      </c>
      <c r="E56" s="40">
        <f t="shared" si="0"/>
        <v>0</v>
      </c>
      <c r="F56" s="38">
        <f t="shared" si="8"/>
        <v>0</v>
      </c>
      <c r="G56" s="38" t="s">
        <v>197</v>
      </c>
      <c r="H56" s="38" t="s">
        <v>197</v>
      </c>
      <c r="I56" s="38" t="s">
        <v>197</v>
      </c>
      <c r="J56" s="38" t="s">
        <v>197</v>
      </c>
      <c r="K56" s="323"/>
    </row>
    <row r="57" spans="1:11" s="28" customFormat="1" ht="30.75" customHeight="1">
      <c r="A57" s="315" t="s">
        <v>53</v>
      </c>
      <c r="B57" s="304">
        <v>1085</v>
      </c>
      <c r="C57" s="38">
        <v>0</v>
      </c>
      <c r="D57" s="38">
        <v>0</v>
      </c>
      <c r="E57" s="40">
        <f t="shared" si="0"/>
        <v>0</v>
      </c>
      <c r="F57" s="38">
        <f t="shared" si="4"/>
        <v>0</v>
      </c>
      <c r="G57" s="38" t="s">
        <v>197</v>
      </c>
      <c r="H57" s="38" t="s">
        <v>197</v>
      </c>
      <c r="I57" s="38" t="s">
        <v>197</v>
      </c>
      <c r="J57" s="38" t="s">
        <v>197</v>
      </c>
      <c r="K57" s="323"/>
    </row>
    <row r="58" spans="1:11" s="28" customFormat="1" ht="30.75" customHeight="1">
      <c r="A58" s="315" t="s">
        <v>159</v>
      </c>
      <c r="B58" s="304">
        <v>1086</v>
      </c>
      <c r="C58" s="38">
        <v>-5</v>
      </c>
      <c r="D58" s="38">
        <v>0</v>
      </c>
      <c r="E58" s="40">
        <f t="shared" si="0"/>
        <v>0</v>
      </c>
      <c r="F58" s="38">
        <f t="shared" si="4"/>
        <v>-36</v>
      </c>
      <c r="G58" s="38">
        <v>-9</v>
      </c>
      <c r="H58" s="38">
        <v>-9</v>
      </c>
      <c r="I58" s="38">
        <v>-9</v>
      </c>
      <c r="J58" s="38">
        <v>-9</v>
      </c>
      <c r="K58" s="323"/>
    </row>
    <row r="59" spans="1:11" s="311" customFormat="1" ht="29.25" customHeight="1">
      <c r="A59" s="322" t="s">
        <v>4</v>
      </c>
      <c r="B59" s="56">
        <v>1100</v>
      </c>
      <c r="C59" s="40">
        <f t="shared" ref="C59:J59" si="9">SUM(C18,C19,C40,C48,C52)</f>
        <v>2650</v>
      </c>
      <c r="D59" s="40">
        <f t="shared" si="9"/>
        <v>8416</v>
      </c>
      <c r="E59" s="40">
        <f t="shared" si="0"/>
        <v>8416</v>
      </c>
      <c r="F59" s="40">
        <f t="shared" si="9"/>
        <v>5620</v>
      </c>
      <c r="G59" s="40">
        <f t="shared" si="9"/>
        <v>1405</v>
      </c>
      <c r="H59" s="40">
        <f t="shared" si="9"/>
        <v>1405</v>
      </c>
      <c r="I59" s="40">
        <f t="shared" si="9"/>
        <v>1405</v>
      </c>
      <c r="J59" s="40">
        <f t="shared" si="9"/>
        <v>1405</v>
      </c>
      <c r="K59" s="321"/>
    </row>
    <row r="60" spans="1:11" s="28" customFormat="1" ht="30.75" customHeight="1">
      <c r="A60" s="315" t="s">
        <v>87</v>
      </c>
      <c r="B60" s="304">
        <v>1110</v>
      </c>
      <c r="C60" s="38"/>
      <c r="D60" s="38"/>
      <c r="E60" s="40">
        <f t="shared" si="0"/>
        <v>0</v>
      </c>
      <c r="F60" s="38">
        <f t="shared" si="4"/>
        <v>0</v>
      </c>
      <c r="G60" s="38"/>
      <c r="H60" s="38"/>
      <c r="I60" s="38"/>
      <c r="J60" s="38"/>
      <c r="K60" s="323"/>
    </row>
    <row r="61" spans="1:11" s="28" customFormat="1" ht="30.75" customHeight="1">
      <c r="A61" s="315" t="s">
        <v>89</v>
      </c>
      <c r="B61" s="304">
        <v>1120</v>
      </c>
      <c r="C61" s="38" t="s">
        <v>197</v>
      </c>
      <c r="D61" s="38" t="s">
        <v>197</v>
      </c>
      <c r="E61" s="40" t="str">
        <f t="shared" si="0"/>
        <v>(    )</v>
      </c>
      <c r="F61" s="38">
        <f>SUM(G61:J61)</f>
        <v>0</v>
      </c>
      <c r="G61" s="38" t="s">
        <v>197</v>
      </c>
      <c r="H61" s="38" t="s">
        <v>197</v>
      </c>
      <c r="I61" s="38" t="s">
        <v>197</v>
      </c>
      <c r="J61" s="38" t="s">
        <v>197</v>
      </c>
      <c r="K61" s="323"/>
    </row>
    <row r="62" spans="1:11" s="28" customFormat="1" ht="30.75" customHeight="1">
      <c r="A62" s="322" t="s">
        <v>524</v>
      </c>
      <c r="B62" s="314">
        <v>1130</v>
      </c>
      <c r="C62" s="40"/>
      <c r="D62" s="40"/>
      <c r="E62" s="40">
        <f t="shared" si="0"/>
        <v>0</v>
      </c>
      <c r="F62" s="40">
        <f t="shared" si="4"/>
        <v>0</v>
      </c>
      <c r="G62" s="40"/>
      <c r="H62" s="40"/>
      <c r="I62" s="40"/>
      <c r="J62" s="40"/>
      <c r="K62" s="321"/>
    </row>
    <row r="63" spans="1:11" s="28" customFormat="1" ht="42.75" customHeight="1">
      <c r="A63" s="434" t="s">
        <v>670</v>
      </c>
      <c r="B63" s="314">
        <v>1140</v>
      </c>
      <c r="C63" s="40">
        <v>-833</v>
      </c>
      <c r="D63" s="40">
        <v>-561</v>
      </c>
      <c r="E63" s="40">
        <f t="shared" si="0"/>
        <v>-561</v>
      </c>
      <c r="F63" s="40">
        <f>SUM(G63:J63)</f>
        <v>-249</v>
      </c>
      <c r="G63" s="40">
        <f>-кредити!AK94/1000</f>
        <v>-83</v>
      </c>
      <c r="H63" s="40">
        <f>-кредити!AK98/1000</f>
        <v>-70</v>
      </c>
      <c r="I63" s="40">
        <f>-кредити!AK102/1000</f>
        <v>-55</v>
      </c>
      <c r="J63" s="40">
        <f>-кредити!AK106/1000</f>
        <v>-41</v>
      </c>
      <c r="K63" s="321"/>
    </row>
    <row r="64" spans="1:11" s="28" customFormat="1" ht="30.75" customHeight="1">
      <c r="A64" s="322" t="s">
        <v>203</v>
      </c>
      <c r="B64" s="314">
        <v>1150</v>
      </c>
      <c r="C64" s="40">
        <f>SUM(C65:C66)</f>
        <v>528</v>
      </c>
      <c r="D64" s="40">
        <f t="shared" ref="D64:I64" si="10">SUM(D65:D66)</f>
        <v>528</v>
      </c>
      <c r="E64" s="40">
        <f t="shared" si="0"/>
        <v>528</v>
      </c>
      <c r="F64" s="40">
        <f t="shared" si="4"/>
        <v>528</v>
      </c>
      <c r="G64" s="40">
        <f t="shared" si="10"/>
        <v>132</v>
      </c>
      <c r="H64" s="40">
        <f t="shared" si="10"/>
        <v>132</v>
      </c>
      <c r="I64" s="40">
        <f t="shared" si="10"/>
        <v>132</v>
      </c>
      <c r="J64" s="40">
        <f>SUM(J65:J66)</f>
        <v>132</v>
      </c>
      <c r="K64" s="321"/>
    </row>
    <row r="65" spans="1:11" s="28" customFormat="1" ht="30.75" customHeight="1">
      <c r="A65" s="315" t="s">
        <v>146</v>
      </c>
      <c r="B65" s="304">
        <v>1151</v>
      </c>
      <c r="C65" s="38"/>
      <c r="D65" s="38"/>
      <c r="E65" s="40">
        <f t="shared" si="0"/>
        <v>0</v>
      </c>
      <c r="F65" s="38">
        <f t="shared" si="4"/>
        <v>0</v>
      </c>
      <c r="G65" s="38"/>
      <c r="H65" s="38"/>
      <c r="I65" s="38"/>
      <c r="J65" s="38"/>
      <c r="K65" s="323"/>
    </row>
    <row r="66" spans="1:11" s="28" customFormat="1" ht="51.75" customHeight="1">
      <c r="A66" s="315" t="s">
        <v>715</v>
      </c>
      <c r="B66" s="304">
        <v>1152</v>
      </c>
      <c r="C66" s="38">
        <v>528</v>
      </c>
      <c r="D66" s="38">
        <v>528</v>
      </c>
      <c r="E66" s="38">
        <f t="shared" si="0"/>
        <v>528</v>
      </c>
      <c r="F66" s="38">
        <f t="shared" si="4"/>
        <v>528</v>
      </c>
      <c r="G66" s="38">
        <v>132</v>
      </c>
      <c r="H66" s="38">
        <v>132</v>
      </c>
      <c r="I66" s="38">
        <v>132</v>
      </c>
      <c r="J66" s="38">
        <v>132</v>
      </c>
      <c r="K66" s="323"/>
    </row>
    <row r="67" spans="1:11" s="28" customFormat="1" ht="30.75" customHeight="1">
      <c r="A67" s="322" t="s">
        <v>245</v>
      </c>
      <c r="B67" s="314">
        <v>1160</v>
      </c>
      <c r="C67" s="40">
        <f>SUM(C68:C69)</f>
        <v>-46</v>
      </c>
      <c r="D67" s="40">
        <f t="shared" ref="D67:J67" si="11">SUM(D68:D69)</f>
        <v>0</v>
      </c>
      <c r="E67" s="40">
        <f t="shared" si="0"/>
        <v>0</v>
      </c>
      <c r="F67" s="40">
        <f t="shared" si="4"/>
        <v>-36</v>
      </c>
      <c r="G67" s="40">
        <f t="shared" si="11"/>
        <v>-9</v>
      </c>
      <c r="H67" s="40">
        <f t="shared" si="11"/>
        <v>-9</v>
      </c>
      <c r="I67" s="40">
        <f t="shared" si="11"/>
        <v>-9</v>
      </c>
      <c r="J67" s="40">
        <f t="shared" si="11"/>
        <v>-9</v>
      </c>
      <c r="K67" s="321"/>
    </row>
    <row r="68" spans="1:11" s="28" customFormat="1" ht="30.75" customHeight="1">
      <c r="A68" s="315" t="s">
        <v>146</v>
      </c>
      <c r="B68" s="304">
        <v>1161</v>
      </c>
      <c r="C68" s="38" t="s">
        <v>197</v>
      </c>
      <c r="D68" s="38" t="s">
        <v>197</v>
      </c>
      <c r="E68" s="38" t="str">
        <f t="shared" si="0"/>
        <v>(    )</v>
      </c>
      <c r="F68" s="38">
        <f>SUM(G68:J68)</f>
        <v>0</v>
      </c>
      <c r="G68" s="38" t="s">
        <v>197</v>
      </c>
      <c r="H68" s="38" t="s">
        <v>197</v>
      </c>
      <c r="I68" s="38" t="s">
        <v>197</v>
      </c>
      <c r="J68" s="38" t="s">
        <v>197</v>
      </c>
      <c r="K68" s="323"/>
    </row>
    <row r="69" spans="1:11" s="28" customFormat="1" ht="30.75" customHeight="1">
      <c r="A69" s="315" t="s">
        <v>94</v>
      </c>
      <c r="B69" s="304">
        <v>1162</v>
      </c>
      <c r="C69" s="38">
        <v>-46</v>
      </c>
      <c r="D69" s="38" t="s">
        <v>197</v>
      </c>
      <c r="E69" s="38" t="str">
        <f t="shared" si="0"/>
        <v>(    )</v>
      </c>
      <c r="F69" s="38">
        <f>SUM(G69:J69)</f>
        <v>-36</v>
      </c>
      <c r="G69" s="38">
        <v>-9</v>
      </c>
      <c r="H69" s="38">
        <v>-9</v>
      </c>
      <c r="I69" s="38">
        <v>-9</v>
      </c>
      <c r="J69" s="38">
        <v>-9</v>
      </c>
      <c r="K69" s="323"/>
    </row>
    <row r="70" spans="1:11" s="311" customFormat="1" ht="29.25" customHeight="1">
      <c r="A70" s="322" t="s">
        <v>78</v>
      </c>
      <c r="B70" s="56">
        <v>1170</v>
      </c>
      <c r="C70" s="40">
        <f>SUM(C59,C60,C61,C62,C63,C64,C67)</f>
        <v>2299</v>
      </c>
      <c r="D70" s="40">
        <f>SUM(D59,D60,D61,D62,D63,D64,D67)</f>
        <v>8383</v>
      </c>
      <c r="E70" s="40">
        <f t="shared" si="0"/>
        <v>8383</v>
      </c>
      <c r="F70" s="40">
        <f t="shared" ref="F70:J70" si="12">SUM(F59,F60,F61,F62,F63,F64,F67)</f>
        <v>5863</v>
      </c>
      <c r="G70" s="40">
        <f t="shared" si="12"/>
        <v>1445</v>
      </c>
      <c r="H70" s="40">
        <f t="shared" si="12"/>
        <v>1458</v>
      </c>
      <c r="I70" s="40">
        <f t="shared" si="12"/>
        <v>1473</v>
      </c>
      <c r="J70" s="40">
        <f t="shared" si="12"/>
        <v>1487</v>
      </c>
      <c r="K70" s="321"/>
    </row>
    <row r="71" spans="1:11" s="28" customFormat="1" ht="30.75" customHeight="1">
      <c r="A71" s="315" t="s">
        <v>206</v>
      </c>
      <c r="B71" s="304">
        <v>1180</v>
      </c>
      <c r="C71" s="38" t="s">
        <v>197</v>
      </c>
      <c r="D71" s="38">
        <v>-1510</v>
      </c>
      <c r="E71" s="38">
        <f t="shared" si="0"/>
        <v>-1510</v>
      </c>
      <c r="F71" s="38">
        <f t="shared" si="4"/>
        <v>-1055</v>
      </c>
      <c r="G71" s="38">
        <f>-G70*0.18</f>
        <v>-260</v>
      </c>
      <c r="H71" s="38">
        <f>-H70*0.18</f>
        <v>-262</v>
      </c>
      <c r="I71" s="38">
        <f t="shared" ref="I71" si="13">-I70*0.18</f>
        <v>-265</v>
      </c>
      <c r="J71" s="38">
        <f>-J70*0.18</f>
        <v>-268</v>
      </c>
      <c r="K71" s="382"/>
    </row>
    <row r="72" spans="1:11" s="28" customFormat="1" ht="30.75" customHeight="1">
      <c r="A72" s="315" t="s">
        <v>207</v>
      </c>
      <c r="B72" s="304">
        <v>1181</v>
      </c>
      <c r="C72" s="38"/>
      <c r="D72" s="38"/>
      <c r="E72" s="40">
        <f t="shared" si="0"/>
        <v>0</v>
      </c>
      <c r="F72" s="38">
        <f t="shared" si="4"/>
        <v>0</v>
      </c>
      <c r="G72" s="38"/>
      <c r="H72" s="38"/>
      <c r="I72" s="38"/>
      <c r="J72" s="38"/>
      <c r="K72" s="323"/>
    </row>
    <row r="73" spans="1:11" s="28" customFormat="1" ht="30.75" customHeight="1">
      <c r="A73" s="315" t="s">
        <v>208</v>
      </c>
      <c r="B73" s="304">
        <v>1190</v>
      </c>
      <c r="C73" s="38"/>
      <c r="D73" s="38"/>
      <c r="E73" s="40">
        <f t="shared" ref="E73:E95" si="14">D73</f>
        <v>0</v>
      </c>
      <c r="F73" s="38">
        <f>SUM(G73:J73)</f>
        <v>0</v>
      </c>
      <c r="G73" s="38"/>
      <c r="H73" s="38"/>
      <c r="I73" s="38"/>
      <c r="J73" s="38"/>
      <c r="K73" s="323"/>
    </row>
    <row r="74" spans="1:11" s="28" customFormat="1" ht="30.75" customHeight="1">
      <c r="A74" s="315" t="s">
        <v>209</v>
      </c>
      <c r="B74" s="304">
        <v>1191</v>
      </c>
      <c r="C74" s="38" t="s">
        <v>197</v>
      </c>
      <c r="D74" s="38" t="s">
        <v>197</v>
      </c>
      <c r="E74" s="38" t="str">
        <f t="shared" si="14"/>
        <v>(    )</v>
      </c>
      <c r="F74" s="38">
        <f>SUM(G74:J74)</f>
        <v>0</v>
      </c>
      <c r="G74" s="38" t="s">
        <v>197</v>
      </c>
      <c r="H74" s="38" t="s">
        <v>197</v>
      </c>
      <c r="I74" s="38" t="s">
        <v>197</v>
      </c>
      <c r="J74" s="38" t="s">
        <v>197</v>
      </c>
      <c r="K74" s="323"/>
    </row>
    <row r="75" spans="1:11" s="28" customFormat="1" ht="30.75" customHeight="1">
      <c r="A75" s="322" t="s">
        <v>290</v>
      </c>
      <c r="B75" s="314">
        <v>1200</v>
      </c>
      <c r="C75" s="40">
        <f>SUM(C70,C71,C72,C73,C74)</f>
        <v>2299</v>
      </c>
      <c r="D75" s="40">
        <f t="shared" ref="D75:J75" si="15">SUM(D70,D71,D72,D73,D74)</f>
        <v>6873</v>
      </c>
      <c r="E75" s="40">
        <f t="shared" si="14"/>
        <v>6873</v>
      </c>
      <c r="F75" s="40">
        <f t="shared" si="15"/>
        <v>4808</v>
      </c>
      <c r="G75" s="40">
        <f t="shared" si="15"/>
        <v>1185</v>
      </c>
      <c r="H75" s="40">
        <f>SUM(H70,H71,H72,H73,H74)</f>
        <v>1196</v>
      </c>
      <c r="I75" s="40">
        <f t="shared" si="15"/>
        <v>1208</v>
      </c>
      <c r="J75" s="40">
        <f t="shared" si="15"/>
        <v>1219</v>
      </c>
      <c r="K75" s="321"/>
    </row>
    <row r="76" spans="1:11" s="28" customFormat="1" ht="30.75" customHeight="1">
      <c r="A76" s="315" t="s">
        <v>23</v>
      </c>
      <c r="B76" s="304">
        <v>1201</v>
      </c>
      <c r="C76" s="38">
        <f>C75</f>
        <v>2299</v>
      </c>
      <c r="D76" s="38">
        <v>6873</v>
      </c>
      <c r="E76" s="38">
        <f t="shared" si="14"/>
        <v>6873</v>
      </c>
      <c r="F76" s="38">
        <f>SUM(G76:J76)</f>
        <v>4808</v>
      </c>
      <c r="G76" s="38">
        <f>G75</f>
        <v>1185</v>
      </c>
      <c r="H76" s="38">
        <f t="shared" ref="H76:J76" si="16">H75</f>
        <v>1196</v>
      </c>
      <c r="I76" s="38">
        <f t="shared" si="16"/>
        <v>1208</v>
      </c>
      <c r="J76" s="38">
        <f t="shared" si="16"/>
        <v>1219</v>
      </c>
      <c r="K76" s="323"/>
    </row>
    <row r="77" spans="1:11" s="28" customFormat="1" ht="30.75" customHeight="1">
      <c r="A77" s="315" t="s">
        <v>24</v>
      </c>
      <c r="B77" s="304">
        <v>1202</v>
      </c>
      <c r="C77" s="38" t="s">
        <v>197</v>
      </c>
      <c r="D77" s="38" t="s">
        <v>197</v>
      </c>
      <c r="E77" s="38" t="str">
        <f t="shared" si="14"/>
        <v>(    )</v>
      </c>
      <c r="F77" s="38">
        <f>SUM(G77:J77)</f>
        <v>0</v>
      </c>
      <c r="G77" s="38" t="s">
        <v>197</v>
      </c>
      <c r="H77" s="38" t="s">
        <v>197</v>
      </c>
      <c r="I77" s="38" t="s">
        <v>197</v>
      </c>
      <c r="J77" s="38" t="s">
        <v>197</v>
      </c>
      <c r="K77" s="323"/>
    </row>
    <row r="78" spans="1:11" s="28" customFormat="1" ht="30.75" customHeight="1">
      <c r="A78" s="322" t="s">
        <v>18</v>
      </c>
      <c r="B78" s="314">
        <v>1210</v>
      </c>
      <c r="C78" s="40">
        <f t="shared" ref="C78:J78" si="17">SUM(C8,C48,C60,C62,C64,C72,C73)</f>
        <v>101539</v>
      </c>
      <c r="D78" s="40">
        <f t="shared" si="17"/>
        <v>120280</v>
      </c>
      <c r="E78" s="40">
        <f t="shared" si="14"/>
        <v>120280</v>
      </c>
      <c r="F78" s="40">
        <f t="shared" si="17"/>
        <v>140040</v>
      </c>
      <c r="G78" s="40">
        <f t="shared" si="17"/>
        <v>35010</v>
      </c>
      <c r="H78" s="40">
        <f t="shared" si="17"/>
        <v>35010</v>
      </c>
      <c r="I78" s="40">
        <f t="shared" si="17"/>
        <v>35010</v>
      </c>
      <c r="J78" s="40">
        <f t="shared" si="17"/>
        <v>35010</v>
      </c>
      <c r="K78" s="321"/>
    </row>
    <row r="79" spans="1:11" s="28" customFormat="1" ht="30.75" customHeight="1">
      <c r="A79" s="322" t="s">
        <v>92</v>
      </c>
      <c r="B79" s="314">
        <v>1220</v>
      </c>
      <c r="C79" s="40">
        <f t="shared" ref="C79:J79" si="18">SUM(C9,C19,C40,C52,C61,C63,C67,C71,C74)</f>
        <v>-99240</v>
      </c>
      <c r="D79" s="40">
        <f t="shared" si="18"/>
        <v>-113407</v>
      </c>
      <c r="E79" s="40">
        <f t="shared" si="14"/>
        <v>-113407</v>
      </c>
      <c r="F79" s="40">
        <f t="shared" si="18"/>
        <v>-135232</v>
      </c>
      <c r="G79" s="40">
        <f t="shared" si="18"/>
        <v>-33825</v>
      </c>
      <c r="H79" s="40">
        <f t="shared" si="18"/>
        <v>-33814</v>
      </c>
      <c r="I79" s="40">
        <f t="shared" si="18"/>
        <v>-33802</v>
      </c>
      <c r="J79" s="40">
        <f t="shared" si="18"/>
        <v>-33791</v>
      </c>
      <c r="K79" s="321"/>
    </row>
    <row r="80" spans="1:11" s="28" customFormat="1" ht="30.75" customHeight="1">
      <c r="A80" s="315" t="s">
        <v>160</v>
      </c>
      <c r="B80" s="304">
        <v>1230</v>
      </c>
      <c r="C80" s="38"/>
      <c r="D80" s="38"/>
      <c r="E80" s="40">
        <f t="shared" si="14"/>
        <v>0</v>
      </c>
      <c r="F80" s="38">
        <f>SUM(G80:J80)</f>
        <v>0</v>
      </c>
      <c r="G80" s="38"/>
      <c r="H80" s="38"/>
      <c r="I80" s="38"/>
      <c r="J80" s="38"/>
      <c r="K80" s="323"/>
    </row>
    <row r="81" spans="1:11" s="28" customFormat="1" ht="30.75" customHeight="1">
      <c r="A81" s="322" t="s">
        <v>115</v>
      </c>
      <c r="B81" s="314"/>
      <c r="C81" s="40"/>
      <c r="D81" s="40"/>
      <c r="E81" s="40">
        <f t="shared" si="14"/>
        <v>0</v>
      </c>
      <c r="F81" s="40"/>
      <c r="G81" s="40"/>
      <c r="H81" s="40"/>
      <c r="I81" s="40"/>
      <c r="J81" s="40"/>
      <c r="K81" s="321"/>
    </row>
    <row r="82" spans="1:11" s="28" customFormat="1" ht="30.75" customHeight="1">
      <c r="A82" s="315" t="s">
        <v>246</v>
      </c>
      <c r="B82" s="304">
        <v>1300</v>
      </c>
      <c r="C82" s="38">
        <f>C59</f>
        <v>2650</v>
      </c>
      <c r="D82" s="38">
        <f>D59</f>
        <v>8416</v>
      </c>
      <c r="E82" s="38">
        <f t="shared" si="14"/>
        <v>8416</v>
      </c>
      <c r="F82" s="38">
        <f t="shared" ref="F82:F87" si="19">SUM(G82:J82)</f>
        <v>5620</v>
      </c>
      <c r="G82" s="38">
        <f>G59</f>
        <v>1405</v>
      </c>
      <c r="H82" s="38">
        <f>H59</f>
        <v>1405</v>
      </c>
      <c r="I82" s="38">
        <f>I59</f>
        <v>1405</v>
      </c>
      <c r="J82" s="38">
        <f>J59</f>
        <v>1405</v>
      </c>
      <c r="K82" s="323"/>
    </row>
    <row r="83" spans="1:11" s="28" customFormat="1" ht="30.75" customHeight="1">
      <c r="A83" s="315" t="s">
        <v>271</v>
      </c>
      <c r="B83" s="304">
        <v>1301</v>
      </c>
      <c r="C83" s="38">
        <f>C93</f>
        <v>6160</v>
      </c>
      <c r="D83" s="38">
        <f>D93</f>
        <v>6016</v>
      </c>
      <c r="E83" s="38">
        <f t="shared" si="14"/>
        <v>6016</v>
      </c>
      <c r="F83" s="38">
        <f t="shared" si="19"/>
        <v>5548</v>
      </c>
      <c r="G83" s="38">
        <f>G93</f>
        <v>1387</v>
      </c>
      <c r="H83" s="38">
        <f>H93</f>
        <v>1387</v>
      </c>
      <c r="I83" s="38">
        <f>I93</f>
        <v>1387</v>
      </c>
      <c r="J83" s="38">
        <f>J93</f>
        <v>1387</v>
      </c>
      <c r="K83" s="323"/>
    </row>
    <row r="84" spans="1:11" s="28" customFormat="1" ht="30.75" customHeight="1">
      <c r="A84" s="315" t="s">
        <v>272</v>
      </c>
      <c r="B84" s="304">
        <v>1302</v>
      </c>
      <c r="C84" s="38">
        <f>C49</f>
        <v>0</v>
      </c>
      <c r="D84" s="38">
        <f t="shared" ref="D84:J84" si="20">D49</f>
        <v>0</v>
      </c>
      <c r="E84" s="40">
        <f t="shared" si="14"/>
        <v>0</v>
      </c>
      <c r="F84" s="38">
        <f t="shared" si="19"/>
        <v>0</v>
      </c>
      <c r="G84" s="38">
        <f t="shared" si="20"/>
        <v>0</v>
      </c>
      <c r="H84" s="38">
        <f t="shared" si="20"/>
        <v>0</v>
      </c>
      <c r="I84" s="38">
        <f t="shared" si="20"/>
        <v>0</v>
      </c>
      <c r="J84" s="38">
        <f t="shared" si="20"/>
        <v>0</v>
      </c>
      <c r="K84" s="323"/>
    </row>
    <row r="85" spans="1:11" s="28" customFormat="1" ht="30.75" customHeight="1">
      <c r="A85" s="315" t="s">
        <v>273</v>
      </c>
      <c r="B85" s="304">
        <v>1303</v>
      </c>
      <c r="C85" s="38">
        <f>C53</f>
        <v>0</v>
      </c>
      <c r="D85" s="38">
        <f t="shared" ref="D85:J85" si="21">D53</f>
        <v>0</v>
      </c>
      <c r="E85" s="40">
        <f t="shared" si="14"/>
        <v>0</v>
      </c>
      <c r="F85" s="38">
        <f t="shared" si="19"/>
        <v>0</v>
      </c>
      <c r="G85" s="38">
        <f t="shared" si="21"/>
        <v>0</v>
      </c>
      <c r="H85" s="38">
        <f t="shared" si="21"/>
        <v>0</v>
      </c>
      <c r="I85" s="38">
        <f t="shared" si="21"/>
        <v>0</v>
      </c>
      <c r="J85" s="38">
        <f t="shared" si="21"/>
        <v>0</v>
      </c>
      <c r="K85" s="323"/>
    </row>
    <row r="86" spans="1:11" s="28" customFormat="1" ht="30.75" customHeight="1">
      <c r="A86" s="315" t="s">
        <v>274</v>
      </c>
      <c r="B86" s="304">
        <v>1304</v>
      </c>
      <c r="C86" s="38">
        <f>C50</f>
        <v>0</v>
      </c>
      <c r="D86" s="38">
        <f t="shared" ref="D86:J86" si="22">D50</f>
        <v>0</v>
      </c>
      <c r="E86" s="40">
        <f t="shared" si="14"/>
        <v>0</v>
      </c>
      <c r="F86" s="38">
        <f t="shared" si="19"/>
        <v>0</v>
      </c>
      <c r="G86" s="38">
        <f t="shared" si="22"/>
        <v>0</v>
      </c>
      <c r="H86" s="38">
        <f t="shared" si="22"/>
        <v>0</v>
      </c>
      <c r="I86" s="38">
        <f t="shared" si="22"/>
        <v>0</v>
      </c>
      <c r="J86" s="38">
        <f t="shared" si="22"/>
        <v>0</v>
      </c>
      <c r="K86" s="323"/>
    </row>
    <row r="87" spans="1:11" s="28" customFormat="1" ht="30.75" customHeight="1">
      <c r="A87" s="315" t="s">
        <v>275</v>
      </c>
      <c r="B87" s="304">
        <v>1305</v>
      </c>
      <c r="C87" s="38">
        <f>C54</f>
        <v>0</v>
      </c>
      <c r="D87" s="38">
        <f>D54</f>
        <v>0</v>
      </c>
      <c r="E87" s="40">
        <f t="shared" si="14"/>
        <v>0</v>
      </c>
      <c r="F87" s="38">
        <f t="shared" si="19"/>
        <v>0</v>
      </c>
      <c r="G87" s="38">
        <f>G54</f>
        <v>0</v>
      </c>
      <c r="H87" s="38">
        <f>H54</f>
        <v>0</v>
      </c>
      <c r="I87" s="38">
        <f>I54</f>
        <v>0</v>
      </c>
      <c r="J87" s="38">
        <f>J54</f>
        <v>0</v>
      </c>
      <c r="K87" s="323"/>
    </row>
    <row r="88" spans="1:11" s="28" customFormat="1" ht="30.75" customHeight="1">
      <c r="A88" s="322" t="s">
        <v>105</v>
      </c>
      <c r="B88" s="314">
        <v>1310</v>
      </c>
      <c r="C88" s="40">
        <f>C82+C83-C84-C85-C86-C87</f>
        <v>8810</v>
      </c>
      <c r="D88" s="40">
        <f t="shared" ref="D88:J88" si="23">D82+D83-D84-D85-D86-D87</f>
        <v>14432</v>
      </c>
      <c r="E88" s="40">
        <f t="shared" si="23"/>
        <v>14432</v>
      </c>
      <c r="F88" s="40">
        <f t="shared" si="23"/>
        <v>11168</v>
      </c>
      <c r="G88" s="40">
        <f t="shared" si="23"/>
        <v>2792</v>
      </c>
      <c r="H88" s="40">
        <f t="shared" si="23"/>
        <v>2792</v>
      </c>
      <c r="I88" s="40">
        <f t="shared" si="23"/>
        <v>2792</v>
      </c>
      <c r="J88" s="40">
        <f t="shared" si="23"/>
        <v>2792</v>
      </c>
      <c r="K88" s="321"/>
    </row>
    <row r="89" spans="1:11" s="28" customFormat="1" ht="30.75" customHeight="1">
      <c r="A89" s="322" t="s">
        <v>154</v>
      </c>
      <c r="B89" s="314"/>
      <c r="C89" s="320"/>
      <c r="D89" s="320"/>
      <c r="E89" s="320">
        <f t="shared" si="14"/>
        <v>0</v>
      </c>
      <c r="F89" s="320"/>
      <c r="G89" s="320"/>
      <c r="H89" s="320"/>
      <c r="I89" s="320"/>
      <c r="J89" s="320"/>
      <c r="K89" s="321"/>
    </row>
    <row r="90" spans="1:11" s="28" customFormat="1" ht="30.75" customHeight="1">
      <c r="A90" s="315" t="s">
        <v>358</v>
      </c>
      <c r="B90" s="304">
        <v>1400</v>
      </c>
      <c r="C90" s="38">
        <v>31692</v>
      </c>
      <c r="D90" s="38">
        <v>34588</v>
      </c>
      <c r="E90" s="38">
        <f>-E10-'Розшифровка до Формування'!E59</f>
        <v>43321</v>
      </c>
      <c r="F90" s="38">
        <f t="shared" ref="F90:F95" si="24">SUM(G90:J90)</f>
        <v>59584</v>
      </c>
      <c r="G90" s="38">
        <f>-G10-'Розшифровка до Формування'!G59</f>
        <v>14896</v>
      </c>
      <c r="H90" s="38">
        <f>-H10-'Розшифровка до Формування'!H59</f>
        <v>14896</v>
      </c>
      <c r="I90" s="38">
        <f>-I10-'Розшифровка до Формування'!I59</f>
        <v>14896</v>
      </c>
      <c r="J90" s="38">
        <f>-J10-'Розшифровка до Формування'!J59</f>
        <v>14896</v>
      </c>
      <c r="K90" s="323"/>
    </row>
    <row r="91" spans="1:11" s="28" customFormat="1" ht="30.75" customHeight="1">
      <c r="A91" s="315" t="s">
        <v>5</v>
      </c>
      <c r="B91" s="304">
        <v>1410</v>
      </c>
      <c r="C91" s="38">
        <v>36629</v>
      </c>
      <c r="D91" s="38">
        <v>45836</v>
      </c>
      <c r="E91" s="38">
        <f>-(E13+E25)</f>
        <v>38831</v>
      </c>
      <c r="F91" s="38">
        <f t="shared" si="24"/>
        <v>40092</v>
      </c>
      <c r="G91" s="38">
        <f>-(G13+G25)</f>
        <v>10023</v>
      </c>
      <c r="H91" s="38">
        <f t="shared" ref="H91:J91" si="25">-(H13+H25)</f>
        <v>10023</v>
      </c>
      <c r="I91" s="38">
        <f t="shared" si="25"/>
        <v>10023</v>
      </c>
      <c r="J91" s="38">
        <f t="shared" si="25"/>
        <v>10023</v>
      </c>
      <c r="K91" s="323"/>
    </row>
    <row r="92" spans="1:11" s="28" customFormat="1" ht="30.75" customHeight="1">
      <c r="A92" s="315" t="s">
        <v>6</v>
      </c>
      <c r="B92" s="304">
        <v>1420</v>
      </c>
      <c r="C92" s="38">
        <v>7758</v>
      </c>
      <c r="D92" s="38">
        <v>10084</v>
      </c>
      <c r="E92" s="38">
        <f>-(E14+E26)</f>
        <v>8543</v>
      </c>
      <c r="F92" s="38">
        <f t="shared" si="24"/>
        <v>8820</v>
      </c>
      <c r="G92" s="38">
        <f>-(G14+G26)</f>
        <v>2205</v>
      </c>
      <c r="H92" s="38">
        <f t="shared" ref="H92:J92" si="26">-(H14+H26)</f>
        <v>2205</v>
      </c>
      <c r="I92" s="38">
        <f t="shared" si="26"/>
        <v>2205</v>
      </c>
      <c r="J92" s="38">
        <f t="shared" si="26"/>
        <v>2205</v>
      </c>
      <c r="K92" s="323"/>
    </row>
    <row r="93" spans="1:11" s="28" customFormat="1" ht="30.75" customHeight="1">
      <c r="A93" s="315" t="s">
        <v>7</v>
      </c>
      <c r="B93" s="304">
        <v>1430</v>
      </c>
      <c r="C93" s="38">
        <v>6160</v>
      </c>
      <c r="D93" s="38">
        <v>6016</v>
      </c>
      <c r="E93" s="38">
        <f>-(E16+E27)</f>
        <v>6016</v>
      </c>
      <c r="F93" s="38">
        <f t="shared" si="24"/>
        <v>5548</v>
      </c>
      <c r="G93" s="38">
        <f>-(G16+G27)</f>
        <v>1387</v>
      </c>
      <c r="H93" s="38">
        <f t="shared" ref="H93:J93" si="27">-(H16+H27)</f>
        <v>1387</v>
      </c>
      <c r="I93" s="38">
        <f t="shared" si="27"/>
        <v>1387</v>
      </c>
      <c r="J93" s="38">
        <f t="shared" si="27"/>
        <v>1387</v>
      </c>
      <c r="K93" s="323"/>
    </row>
    <row r="94" spans="1:11" s="28" customFormat="1" ht="30.75" customHeight="1">
      <c r="A94" s="315" t="s">
        <v>26</v>
      </c>
      <c r="B94" s="304">
        <v>1440</v>
      </c>
      <c r="C94" s="428">
        <v>16114</v>
      </c>
      <c r="D94" s="38">
        <v>14800</v>
      </c>
      <c r="E94" s="38">
        <f>-(E12+E15+E17+E24+E32+E37+E39)+'Розшифровка до Формування'!E59+'Розшифровка до Формування'!E10</f>
        <v>14613</v>
      </c>
      <c r="F94" s="38">
        <f>SUM(G94:J94)</f>
        <v>19836</v>
      </c>
      <c r="G94" s="38">
        <f>-(G12+G15+G17+G24+G32+G37+G39)+'Розшифровка до Формування'!G59+'Розшифровка до Формування'!G10+'Розшифровка до Формування'!G78</f>
        <v>4959</v>
      </c>
      <c r="H94" s="38">
        <f>-(H12+H15+H17+H24+H32+H37+H39)+'Розшифровка до Формування'!H59+'Розшифровка до Формування'!H10+'Розшифровка до Формування'!H78</f>
        <v>4959</v>
      </c>
      <c r="I94" s="38">
        <f>-(I12+I15+I17+I24+I32+I37+I39)+'Розшифровка до Формування'!I59+'Розшифровка до Формування'!I10+'Розшифровка до Формування'!I78</f>
        <v>4959</v>
      </c>
      <c r="J94" s="38">
        <f>-(J12+J15+J17+J24+J32+J37+J39)+'Розшифровка до Формування'!J59+'Розшифровка до Формування'!J10+'Розшифровка до Формування'!J78</f>
        <v>4959</v>
      </c>
      <c r="K94" s="323"/>
    </row>
    <row r="95" spans="1:11" s="28" customFormat="1" ht="30.75" customHeight="1">
      <c r="A95" s="322" t="s">
        <v>49</v>
      </c>
      <c r="B95" s="314">
        <v>1450</v>
      </c>
      <c r="C95" s="40">
        <f>SUM(C90,C91:C94)</f>
        <v>98353</v>
      </c>
      <c r="D95" s="40">
        <f>SUM(D90,D91:D94)</f>
        <v>111324</v>
      </c>
      <c r="E95" s="40">
        <f t="shared" si="14"/>
        <v>111324</v>
      </c>
      <c r="F95" s="40">
        <f t="shared" si="24"/>
        <v>133880</v>
      </c>
      <c r="G95" s="40">
        <f>SUM(G90,G91:G94)</f>
        <v>33470</v>
      </c>
      <c r="H95" s="40">
        <f>SUM(H90,H91:H94)</f>
        <v>33470</v>
      </c>
      <c r="I95" s="40">
        <f>SUM(I90,I91:I94)</f>
        <v>33470</v>
      </c>
      <c r="J95" s="40">
        <f>SUM(J90,J91:J94)</f>
        <v>33470</v>
      </c>
      <c r="K95" s="321"/>
    </row>
    <row r="96" spans="1:11" s="311" customFormat="1" ht="20.100000000000001" customHeight="1">
      <c r="A96" s="312"/>
      <c r="B96" s="57"/>
      <c r="C96" s="58"/>
      <c r="D96" s="58"/>
      <c r="E96" s="58"/>
      <c r="F96" s="58"/>
      <c r="G96" s="58"/>
      <c r="H96" s="58"/>
      <c r="I96" s="58"/>
      <c r="J96" s="58"/>
      <c r="K96" s="59"/>
    </row>
    <row r="97" spans="1:10" ht="89.25" customHeight="1">
      <c r="A97" s="296"/>
      <c r="C97" s="60"/>
      <c r="D97" s="61"/>
      <c r="E97" s="61"/>
      <c r="F97" s="61"/>
      <c r="G97" s="61"/>
      <c r="H97" s="61"/>
      <c r="I97" s="61"/>
      <c r="J97" s="61"/>
    </row>
    <row r="98" spans="1:10" s="252" customFormat="1" ht="20.100000000000001" customHeight="1">
      <c r="A98" s="317" t="s">
        <v>525</v>
      </c>
      <c r="B98" s="57"/>
      <c r="C98" s="567" t="s">
        <v>156</v>
      </c>
      <c r="D98" s="567"/>
      <c r="E98" s="567"/>
      <c r="F98" s="567"/>
      <c r="G98" s="251"/>
      <c r="H98" s="523" t="s">
        <v>702</v>
      </c>
      <c r="I98" s="523"/>
      <c r="J98" s="523"/>
    </row>
    <row r="99" spans="1:10" s="257" customFormat="1" ht="29.25" customHeight="1">
      <c r="A99" s="307" t="s">
        <v>68</v>
      </c>
      <c r="B99" s="255"/>
      <c r="C99" s="562" t="s">
        <v>183</v>
      </c>
      <c r="D99" s="562"/>
      <c r="E99" s="562"/>
      <c r="F99" s="562"/>
      <c r="G99" s="256"/>
      <c r="H99" s="563" t="s">
        <v>359</v>
      </c>
      <c r="I99" s="563"/>
      <c r="J99" s="563"/>
    </row>
    <row r="100" spans="1:10" ht="20.100000000000001" customHeight="1">
      <c r="A100" s="296"/>
      <c r="C100" s="60"/>
      <c r="D100" s="60"/>
      <c r="E100" s="60"/>
      <c r="F100" s="60"/>
      <c r="G100" s="60"/>
      <c r="H100" s="61"/>
      <c r="I100" s="61"/>
      <c r="J100" s="61"/>
    </row>
    <row r="101" spans="1:10">
      <c r="A101" s="433"/>
      <c r="B101" s="432"/>
      <c r="C101" s="60"/>
      <c r="D101" s="60"/>
      <c r="E101" s="60"/>
      <c r="F101" s="60"/>
      <c r="G101" s="60"/>
      <c r="H101" s="61"/>
      <c r="I101" s="61"/>
      <c r="J101" s="61"/>
    </row>
    <row r="102" spans="1:10">
      <c r="A102" s="433"/>
      <c r="B102" s="432"/>
      <c r="C102" s="60"/>
      <c r="D102" s="60"/>
      <c r="E102" s="60"/>
      <c r="F102" s="60"/>
      <c r="G102" s="60"/>
      <c r="H102" s="61"/>
      <c r="I102" s="61"/>
      <c r="J102" s="61"/>
    </row>
    <row r="103" spans="1:10">
      <c r="A103" s="433"/>
      <c r="B103" s="432"/>
      <c r="C103" s="60"/>
      <c r="D103" s="60"/>
      <c r="E103" s="60"/>
      <c r="F103" s="60"/>
      <c r="G103" s="60"/>
      <c r="H103" s="61"/>
      <c r="I103" s="61"/>
      <c r="J103" s="61"/>
    </row>
    <row r="104" spans="1:10">
      <c r="A104" s="433"/>
      <c r="B104" s="432"/>
      <c r="C104" s="60"/>
      <c r="D104" s="60"/>
      <c r="E104" s="60"/>
      <c r="F104" s="60"/>
      <c r="G104" s="60"/>
      <c r="H104" s="61"/>
      <c r="I104" s="61"/>
      <c r="J104" s="61"/>
    </row>
    <row r="105" spans="1:10">
      <c r="A105" s="433"/>
      <c r="B105" s="432"/>
      <c r="C105" s="60"/>
      <c r="D105" s="61"/>
      <c r="E105" s="61"/>
      <c r="F105" s="61"/>
      <c r="G105" s="61"/>
      <c r="H105" s="61"/>
      <c r="I105" s="61"/>
      <c r="J105" s="61"/>
    </row>
    <row r="106" spans="1:10">
      <c r="A106" s="433"/>
      <c r="B106" s="432"/>
      <c r="C106" s="60"/>
      <c r="D106" s="60"/>
      <c r="E106" s="60"/>
      <c r="F106" s="60"/>
      <c r="G106" s="60"/>
      <c r="H106" s="61"/>
      <c r="I106" s="61"/>
      <c r="J106" s="61"/>
    </row>
    <row r="107" spans="1:10">
      <c r="A107" s="433"/>
      <c r="B107" s="432"/>
      <c r="C107" s="60"/>
      <c r="D107" s="60"/>
      <c r="E107" s="60"/>
      <c r="F107" s="60"/>
      <c r="G107" s="60"/>
      <c r="H107" s="61"/>
      <c r="I107" s="61"/>
      <c r="J107" s="61"/>
    </row>
    <row r="108" spans="1:10">
      <c r="A108" s="433"/>
      <c r="B108" s="432"/>
      <c r="C108" s="60"/>
      <c r="D108" s="61"/>
      <c r="E108" s="61"/>
      <c r="F108" s="61"/>
      <c r="G108" s="61"/>
      <c r="H108" s="61"/>
      <c r="I108" s="61"/>
      <c r="J108" s="61"/>
    </row>
    <row r="109" spans="1:10">
      <c r="A109" s="433"/>
      <c r="B109" s="432"/>
      <c r="C109" s="60"/>
      <c r="D109" s="60"/>
      <c r="E109" s="60"/>
      <c r="F109" s="60"/>
      <c r="G109" s="60"/>
      <c r="H109" s="61"/>
      <c r="I109" s="61"/>
      <c r="J109" s="61"/>
    </row>
    <row r="110" spans="1:10">
      <c r="A110" s="433"/>
      <c r="B110" s="432"/>
      <c r="C110" s="60"/>
      <c r="D110" s="60"/>
      <c r="E110" s="60"/>
      <c r="F110" s="60"/>
      <c r="G110" s="60"/>
      <c r="H110" s="61"/>
      <c r="I110" s="61"/>
      <c r="J110" s="61"/>
    </row>
    <row r="111" spans="1:10">
      <c r="A111" s="433"/>
      <c r="B111" s="432"/>
      <c r="C111" s="60"/>
      <c r="D111" s="61"/>
      <c r="E111" s="61"/>
      <c r="F111" s="61"/>
      <c r="G111" s="61"/>
      <c r="H111" s="61"/>
      <c r="I111" s="61"/>
      <c r="J111" s="61"/>
    </row>
    <row r="112" spans="1:10">
      <c r="A112" s="433"/>
      <c r="B112" s="432"/>
      <c r="C112" s="60"/>
      <c r="D112" s="60"/>
      <c r="E112" s="60"/>
      <c r="F112" s="60"/>
      <c r="G112" s="60"/>
      <c r="H112" s="61"/>
      <c r="I112" s="61"/>
      <c r="J112" s="61"/>
    </row>
    <row r="113" spans="1:10">
      <c r="A113" s="433"/>
      <c r="B113" s="432"/>
      <c r="C113" s="60"/>
      <c r="D113" s="60"/>
      <c r="E113" s="60"/>
      <c r="F113" s="60"/>
      <c r="G113" s="60"/>
      <c r="H113" s="61"/>
      <c r="I113" s="61"/>
      <c r="J113" s="61"/>
    </row>
    <row r="114" spans="1:10">
      <c r="A114" s="433"/>
      <c r="B114" s="432"/>
      <c r="C114" s="60"/>
      <c r="D114" s="61"/>
      <c r="E114" s="61"/>
      <c r="F114" s="61"/>
      <c r="G114" s="61"/>
      <c r="H114" s="61"/>
      <c r="I114" s="61"/>
      <c r="J114" s="61"/>
    </row>
    <row r="115" spans="1:10">
      <c r="A115" s="433"/>
      <c r="B115" s="432"/>
      <c r="C115" s="60"/>
      <c r="D115" s="60"/>
      <c r="E115" s="60"/>
      <c r="F115" s="60"/>
      <c r="G115" s="60"/>
      <c r="H115" s="61"/>
      <c r="I115" s="61"/>
      <c r="J115" s="61"/>
    </row>
    <row r="116" spans="1:10">
      <c r="A116" s="433"/>
      <c r="B116" s="432"/>
      <c r="C116" s="60"/>
      <c r="D116" s="60"/>
      <c r="E116" s="60"/>
      <c r="F116" s="60"/>
      <c r="G116" s="60"/>
      <c r="H116" s="61"/>
      <c r="I116" s="61"/>
      <c r="J116" s="61"/>
    </row>
    <row r="117" spans="1:10">
      <c r="A117" s="433"/>
      <c r="B117" s="432"/>
      <c r="C117" s="60"/>
      <c r="D117" s="61"/>
      <c r="E117" s="61"/>
      <c r="F117" s="61"/>
      <c r="G117" s="61"/>
      <c r="H117" s="61"/>
      <c r="I117" s="61"/>
      <c r="J117" s="61"/>
    </row>
    <row r="118" spans="1:10">
      <c r="A118" s="296"/>
      <c r="C118" s="60"/>
      <c r="D118" s="61"/>
      <c r="E118" s="61"/>
      <c r="F118" s="61"/>
      <c r="G118" s="61"/>
      <c r="H118" s="61"/>
      <c r="I118" s="61"/>
      <c r="J118" s="61"/>
    </row>
    <row r="119" spans="1:10">
      <c r="A119" s="296"/>
      <c r="C119" s="60"/>
      <c r="D119" s="61"/>
      <c r="E119" s="61"/>
      <c r="F119" s="61"/>
      <c r="G119" s="61"/>
      <c r="H119" s="61"/>
      <c r="I119" s="61"/>
      <c r="J119" s="61"/>
    </row>
    <row r="120" spans="1:10">
      <c r="A120" s="296"/>
      <c r="C120" s="60"/>
      <c r="D120" s="61"/>
      <c r="E120" s="61"/>
      <c r="F120" s="61"/>
      <c r="G120" s="61"/>
      <c r="H120" s="61"/>
      <c r="I120" s="61"/>
      <c r="J120" s="61"/>
    </row>
    <row r="121" spans="1:10">
      <c r="A121" s="296"/>
      <c r="C121" s="60"/>
      <c r="D121" s="61"/>
      <c r="E121" s="61"/>
      <c r="F121" s="61"/>
      <c r="G121" s="61"/>
      <c r="H121" s="61"/>
      <c r="I121" s="61"/>
      <c r="J121" s="61"/>
    </row>
    <row r="122" spans="1:10">
      <c r="A122" s="296"/>
      <c r="C122" s="60"/>
      <c r="D122" s="61"/>
      <c r="E122" s="61"/>
      <c r="F122" s="61"/>
      <c r="G122" s="61"/>
      <c r="H122" s="61"/>
      <c r="I122" s="61"/>
      <c r="J122" s="61"/>
    </row>
    <row r="123" spans="1:10">
      <c r="A123" s="296"/>
      <c r="C123" s="60"/>
      <c r="D123" s="61"/>
      <c r="E123" s="61"/>
      <c r="F123" s="61"/>
      <c r="G123" s="61"/>
      <c r="H123" s="61"/>
      <c r="I123" s="61"/>
      <c r="J123" s="61"/>
    </row>
    <row r="124" spans="1:10">
      <c r="A124" s="296"/>
      <c r="C124" s="60"/>
      <c r="D124" s="61"/>
      <c r="E124" s="61"/>
      <c r="F124" s="61"/>
      <c r="G124" s="61"/>
      <c r="H124" s="61"/>
      <c r="I124" s="61"/>
      <c r="J124" s="61"/>
    </row>
    <row r="125" spans="1:10">
      <c r="A125" s="296"/>
      <c r="C125" s="60"/>
      <c r="D125" s="61"/>
      <c r="E125" s="61"/>
      <c r="F125" s="61"/>
      <c r="G125" s="61"/>
      <c r="H125" s="61"/>
      <c r="I125" s="61"/>
      <c r="J125" s="61"/>
    </row>
    <row r="126" spans="1:10">
      <c r="A126" s="296"/>
      <c r="C126" s="60"/>
      <c r="D126" s="61"/>
      <c r="E126" s="61"/>
      <c r="F126" s="61"/>
      <c r="G126" s="61"/>
      <c r="H126" s="61"/>
      <c r="I126" s="61"/>
      <c r="J126" s="61"/>
    </row>
    <row r="127" spans="1:10">
      <c r="A127" s="296"/>
      <c r="C127" s="60"/>
      <c r="D127" s="61"/>
      <c r="E127" s="61"/>
      <c r="F127" s="61"/>
      <c r="G127" s="61"/>
      <c r="H127" s="61"/>
      <c r="I127" s="61"/>
      <c r="J127" s="61"/>
    </row>
    <row r="128" spans="1:10">
      <c r="A128" s="296"/>
      <c r="C128" s="60"/>
      <c r="D128" s="61"/>
      <c r="E128" s="61"/>
      <c r="F128" s="61"/>
      <c r="G128" s="61"/>
      <c r="H128" s="61"/>
      <c r="I128" s="61"/>
      <c r="J128" s="61"/>
    </row>
    <row r="129" spans="1:10">
      <c r="A129" s="296"/>
      <c r="C129" s="60"/>
      <c r="D129" s="61"/>
      <c r="E129" s="61"/>
      <c r="F129" s="61"/>
      <c r="G129" s="61"/>
      <c r="H129" s="61"/>
      <c r="I129" s="61"/>
      <c r="J129" s="61"/>
    </row>
    <row r="130" spans="1:10">
      <c r="A130" s="296"/>
      <c r="C130" s="60"/>
      <c r="D130" s="61"/>
      <c r="E130" s="61"/>
      <c r="F130" s="61"/>
      <c r="G130" s="61"/>
      <c r="H130" s="61"/>
      <c r="I130" s="61"/>
      <c r="J130" s="61"/>
    </row>
    <row r="131" spans="1:10">
      <c r="A131" s="296"/>
      <c r="C131" s="60"/>
      <c r="D131" s="61"/>
      <c r="E131" s="61"/>
      <c r="F131" s="61"/>
      <c r="G131" s="61"/>
      <c r="H131" s="61"/>
      <c r="I131" s="61"/>
      <c r="J131" s="61"/>
    </row>
    <row r="132" spans="1:10">
      <c r="A132" s="296"/>
      <c r="C132" s="60"/>
      <c r="D132" s="61"/>
      <c r="E132" s="61"/>
      <c r="F132" s="61"/>
      <c r="G132" s="61"/>
      <c r="H132" s="61"/>
      <c r="I132" s="61"/>
      <c r="J132" s="61"/>
    </row>
    <row r="133" spans="1:10">
      <c r="A133" s="296"/>
      <c r="C133" s="60"/>
      <c r="D133" s="61"/>
      <c r="E133" s="61"/>
      <c r="F133" s="61"/>
      <c r="G133" s="61"/>
      <c r="H133" s="61"/>
      <c r="I133" s="61"/>
      <c r="J133" s="61"/>
    </row>
    <row r="134" spans="1:10">
      <c r="A134" s="296"/>
      <c r="C134" s="60"/>
      <c r="D134" s="61"/>
      <c r="E134" s="61"/>
      <c r="F134" s="61"/>
      <c r="G134" s="61"/>
      <c r="H134" s="61"/>
      <c r="I134" s="61"/>
      <c r="J134" s="61"/>
    </row>
    <row r="135" spans="1:10">
      <c r="A135" s="296"/>
      <c r="C135" s="60"/>
      <c r="D135" s="61"/>
      <c r="E135" s="61"/>
      <c r="F135" s="61"/>
      <c r="G135" s="61"/>
      <c r="H135" s="61"/>
      <c r="I135" s="61"/>
      <c r="J135" s="61"/>
    </row>
    <row r="136" spans="1:10">
      <c r="A136" s="296"/>
      <c r="C136" s="60"/>
      <c r="D136" s="61"/>
      <c r="E136" s="61"/>
      <c r="F136" s="61"/>
      <c r="G136" s="61"/>
      <c r="H136" s="61"/>
      <c r="I136" s="61"/>
      <c r="J136" s="61"/>
    </row>
    <row r="137" spans="1:10">
      <c r="A137" s="296"/>
      <c r="C137" s="60"/>
      <c r="D137" s="61"/>
      <c r="E137" s="61"/>
      <c r="F137" s="61"/>
      <c r="G137" s="61"/>
      <c r="H137" s="61"/>
      <c r="I137" s="61"/>
      <c r="J137" s="61"/>
    </row>
    <row r="138" spans="1:10">
      <c r="A138" s="296"/>
      <c r="C138" s="60"/>
      <c r="D138" s="61"/>
      <c r="E138" s="61"/>
      <c r="F138" s="61"/>
      <c r="G138" s="61"/>
      <c r="H138" s="61"/>
      <c r="I138" s="61"/>
      <c r="J138" s="61"/>
    </row>
    <row r="139" spans="1:10">
      <c r="A139" s="296"/>
      <c r="C139" s="60"/>
      <c r="D139" s="61"/>
      <c r="E139" s="61"/>
      <c r="F139" s="61"/>
      <c r="G139" s="61"/>
      <c r="H139" s="61"/>
      <c r="I139" s="61"/>
      <c r="J139" s="61"/>
    </row>
    <row r="140" spans="1:10">
      <c r="A140" s="296"/>
      <c r="C140" s="60"/>
      <c r="D140" s="61"/>
      <c r="E140" s="61"/>
      <c r="F140" s="61"/>
      <c r="G140" s="61"/>
      <c r="H140" s="61"/>
      <c r="I140" s="61"/>
      <c r="J140" s="61"/>
    </row>
    <row r="141" spans="1:10">
      <c r="A141" s="296"/>
      <c r="C141" s="60"/>
      <c r="D141" s="61"/>
      <c r="E141" s="61"/>
      <c r="F141" s="61"/>
      <c r="G141" s="61"/>
      <c r="H141" s="61"/>
      <c r="I141" s="61"/>
      <c r="J141" s="61"/>
    </row>
    <row r="142" spans="1:10">
      <c r="A142" s="296"/>
      <c r="C142" s="60"/>
      <c r="D142" s="61"/>
      <c r="E142" s="61"/>
      <c r="F142" s="61"/>
      <c r="G142" s="61"/>
      <c r="H142" s="61"/>
      <c r="I142" s="61"/>
      <c r="J142" s="61"/>
    </row>
    <row r="143" spans="1:10">
      <c r="A143" s="296"/>
      <c r="C143" s="60"/>
      <c r="D143" s="61"/>
      <c r="E143" s="61"/>
      <c r="F143" s="61"/>
      <c r="G143" s="61"/>
      <c r="H143" s="61"/>
      <c r="I143" s="61"/>
      <c r="J143" s="61"/>
    </row>
    <row r="144" spans="1:10">
      <c r="A144" s="296"/>
      <c r="C144" s="60"/>
      <c r="D144" s="61"/>
      <c r="E144" s="61"/>
      <c r="F144" s="61"/>
      <c r="G144" s="61"/>
      <c r="H144" s="61"/>
      <c r="I144" s="61"/>
      <c r="J144" s="61"/>
    </row>
    <row r="145" spans="1:10">
      <c r="A145" s="296"/>
      <c r="C145" s="60"/>
      <c r="D145" s="61"/>
      <c r="E145" s="61"/>
      <c r="F145" s="61"/>
      <c r="G145" s="61"/>
      <c r="H145" s="61"/>
      <c r="I145" s="61"/>
      <c r="J145" s="61"/>
    </row>
    <row r="146" spans="1:10">
      <c r="A146" s="296"/>
      <c r="C146" s="60"/>
      <c r="D146" s="61"/>
      <c r="E146" s="61"/>
      <c r="F146" s="61"/>
      <c r="G146" s="61"/>
      <c r="H146" s="61"/>
      <c r="I146" s="61"/>
      <c r="J146" s="61"/>
    </row>
    <row r="147" spans="1:10">
      <c r="A147" s="296"/>
      <c r="C147" s="60"/>
      <c r="D147" s="61"/>
      <c r="E147" s="61"/>
      <c r="F147" s="61"/>
      <c r="G147" s="61"/>
      <c r="H147" s="61"/>
      <c r="I147" s="61"/>
      <c r="J147" s="61"/>
    </row>
    <row r="148" spans="1:10">
      <c r="A148" s="296"/>
      <c r="C148" s="60"/>
      <c r="D148" s="61"/>
      <c r="E148" s="61"/>
      <c r="F148" s="61"/>
      <c r="G148" s="61"/>
      <c r="H148" s="61"/>
      <c r="I148" s="61"/>
      <c r="J148" s="61"/>
    </row>
    <row r="149" spans="1:10">
      <c r="A149" s="296"/>
      <c r="C149" s="60"/>
      <c r="D149" s="61"/>
      <c r="E149" s="61"/>
      <c r="F149" s="61"/>
      <c r="G149" s="61"/>
      <c r="H149" s="61"/>
      <c r="I149" s="61"/>
      <c r="J149" s="61"/>
    </row>
    <row r="150" spans="1:10">
      <c r="A150" s="296"/>
      <c r="C150" s="60"/>
      <c r="D150" s="61"/>
      <c r="E150" s="61"/>
      <c r="F150" s="61"/>
      <c r="G150" s="61"/>
      <c r="H150" s="61"/>
      <c r="I150" s="61"/>
      <c r="J150" s="61"/>
    </row>
    <row r="151" spans="1:10">
      <c r="A151" s="296"/>
      <c r="C151" s="60"/>
      <c r="D151" s="61"/>
      <c r="E151" s="61"/>
      <c r="F151" s="61"/>
      <c r="G151" s="61"/>
      <c r="H151" s="61"/>
      <c r="I151" s="61"/>
      <c r="J151" s="61"/>
    </row>
    <row r="152" spans="1:10">
      <c r="A152" s="296"/>
      <c r="C152" s="60"/>
      <c r="D152" s="61"/>
      <c r="E152" s="61"/>
      <c r="F152" s="61"/>
      <c r="G152" s="61"/>
      <c r="H152" s="61"/>
      <c r="I152" s="61"/>
      <c r="J152" s="61"/>
    </row>
    <row r="153" spans="1:10">
      <c r="A153" s="296"/>
      <c r="C153" s="60"/>
      <c r="D153" s="61"/>
      <c r="E153" s="61"/>
      <c r="F153" s="61"/>
      <c r="G153" s="61"/>
      <c r="H153" s="61"/>
      <c r="I153" s="61"/>
      <c r="J153" s="61"/>
    </row>
    <row r="154" spans="1:10">
      <c r="A154" s="296"/>
      <c r="C154" s="60"/>
      <c r="D154" s="61"/>
      <c r="E154" s="61"/>
      <c r="F154" s="61"/>
      <c r="G154" s="61"/>
      <c r="H154" s="61"/>
      <c r="I154" s="61"/>
      <c r="J154" s="61"/>
    </row>
    <row r="155" spans="1:10">
      <c r="A155" s="296"/>
      <c r="C155" s="60"/>
      <c r="D155" s="61"/>
      <c r="E155" s="61"/>
      <c r="F155" s="61"/>
      <c r="G155" s="61"/>
      <c r="H155" s="61"/>
      <c r="I155" s="61"/>
      <c r="J155" s="61"/>
    </row>
    <row r="156" spans="1:10">
      <c r="A156" s="296"/>
      <c r="C156" s="60"/>
      <c r="D156" s="61"/>
      <c r="E156" s="61"/>
      <c r="F156" s="61"/>
      <c r="G156" s="61"/>
      <c r="H156" s="61"/>
      <c r="I156" s="61"/>
      <c r="J156" s="61"/>
    </row>
    <row r="157" spans="1:10">
      <c r="A157" s="296"/>
      <c r="C157" s="60"/>
      <c r="D157" s="61"/>
      <c r="E157" s="61"/>
      <c r="F157" s="61"/>
      <c r="G157" s="61"/>
      <c r="H157" s="61"/>
      <c r="I157" s="61"/>
      <c r="J157" s="61"/>
    </row>
    <row r="158" spans="1:10">
      <c r="A158" s="337"/>
    </row>
    <row r="159" spans="1:10">
      <c r="A159" s="337"/>
    </row>
    <row r="160" spans="1:10">
      <c r="A160" s="337"/>
    </row>
    <row r="161" spans="1:1">
      <c r="A161" s="337"/>
    </row>
    <row r="162" spans="1:1">
      <c r="A162" s="337"/>
    </row>
    <row r="163" spans="1:1">
      <c r="A163" s="337"/>
    </row>
    <row r="164" spans="1:1">
      <c r="A164" s="337"/>
    </row>
    <row r="165" spans="1:1">
      <c r="A165" s="337"/>
    </row>
    <row r="166" spans="1:1">
      <c r="A166" s="337"/>
    </row>
    <row r="167" spans="1:1">
      <c r="A167" s="337"/>
    </row>
    <row r="168" spans="1:1">
      <c r="A168" s="337"/>
    </row>
    <row r="169" spans="1:1">
      <c r="A169" s="337"/>
    </row>
    <row r="170" spans="1:1">
      <c r="A170" s="337"/>
    </row>
    <row r="171" spans="1:1">
      <c r="A171" s="337"/>
    </row>
    <row r="172" spans="1:1">
      <c r="A172" s="337"/>
    </row>
    <row r="173" spans="1:1">
      <c r="A173" s="337"/>
    </row>
    <row r="174" spans="1:1">
      <c r="A174" s="337"/>
    </row>
    <row r="175" spans="1:1">
      <c r="A175" s="337"/>
    </row>
    <row r="176" spans="1:1">
      <c r="A176" s="337"/>
    </row>
    <row r="177" spans="1:1">
      <c r="A177" s="337"/>
    </row>
    <row r="178" spans="1:1">
      <c r="A178" s="337"/>
    </row>
    <row r="179" spans="1:1">
      <c r="A179" s="337"/>
    </row>
    <row r="180" spans="1:1">
      <c r="A180" s="337"/>
    </row>
    <row r="181" spans="1:1">
      <c r="A181" s="337"/>
    </row>
    <row r="182" spans="1:1">
      <c r="A182" s="337"/>
    </row>
    <row r="183" spans="1:1">
      <c r="A183" s="337"/>
    </row>
    <row r="184" spans="1:1">
      <c r="A184" s="337"/>
    </row>
    <row r="185" spans="1:1">
      <c r="A185" s="337"/>
    </row>
    <row r="186" spans="1:1">
      <c r="A186" s="337"/>
    </row>
    <row r="187" spans="1:1">
      <c r="A187" s="337"/>
    </row>
    <row r="188" spans="1:1">
      <c r="A188" s="337"/>
    </row>
    <row r="189" spans="1:1">
      <c r="A189" s="337"/>
    </row>
    <row r="190" spans="1:1">
      <c r="A190" s="337"/>
    </row>
    <row r="191" spans="1:1">
      <c r="A191" s="337"/>
    </row>
    <row r="192" spans="1:1">
      <c r="A192" s="337"/>
    </row>
    <row r="193" spans="1:1">
      <c r="A193" s="337"/>
    </row>
    <row r="194" spans="1:1">
      <c r="A194" s="337"/>
    </row>
    <row r="195" spans="1:1">
      <c r="A195" s="337"/>
    </row>
    <row r="196" spans="1:1">
      <c r="A196" s="337"/>
    </row>
    <row r="197" spans="1:1">
      <c r="A197" s="337"/>
    </row>
    <row r="198" spans="1:1">
      <c r="A198" s="337"/>
    </row>
    <row r="199" spans="1:1">
      <c r="A199" s="337"/>
    </row>
    <row r="200" spans="1:1">
      <c r="A200" s="337"/>
    </row>
    <row r="201" spans="1:1">
      <c r="A201" s="337"/>
    </row>
    <row r="202" spans="1:1">
      <c r="A202" s="337"/>
    </row>
    <row r="203" spans="1:1">
      <c r="A203" s="337"/>
    </row>
    <row r="204" spans="1:1">
      <c r="A204" s="337"/>
    </row>
    <row r="205" spans="1:1">
      <c r="A205" s="337"/>
    </row>
    <row r="206" spans="1:1">
      <c r="A206" s="337"/>
    </row>
    <row r="207" spans="1:1">
      <c r="A207" s="337"/>
    </row>
    <row r="208" spans="1:1">
      <c r="A208" s="337"/>
    </row>
    <row r="209" spans="1:1">
      <c r="A209" s="337"/>
    </row>
    <row r="210" spans="1:1">
      <c r="A210" s="337"/>
    </row>
    <row r="211" spans="1:1">
      <c r="A211" s="337"/>
    </row>
    <row r="212" spans="1:1">
      <c r="A212" s="337"/>
    </row>
    <row r="213" spans="1:1">
      <c r="A213" s="337"/>
    </row>
    <row r="214" spans="1:1">
      <c r="A214" s="337"/>
    </row>
    <row r="215" spans="1:1">
      <c r="A215" s="337"/>
    </row>
    <row r="216" spans="1:1">
      <c r="A216" s="337"/>
    </row>
    <row r="217" spans="1:1">
      <c r="A217" s="337"/>
    </row>
    <row r="218" spans="1:1">
      <c r="A218" s="337"/>
    </row>
    <row r="219" spans="1:1">
      <c r="A219" s="337"/>
    </row>
    <row r="220" spans="1:1">
      <c r="A220" s="337"/>
    </row>
    <row r="221" spans="1:1">
      <c r="A221" s="337"/>
    </row>
    <row r="222" spans="1:1">
      <c r="A222" s="337"/>
    </row>
    <row r="223" spans="1:1">
      <c r="A223" s="337"/>
    </row>
    <row r="224" spans="1:1">
      <c r="A224" s="337"/>
    </row>
    <row r="225" spans="1:1">
      <c r="A225" s="337"/>
    </row>
    <row r="226" spans="1:1">
      <c r="A226" s="337"/>
    </row>
    <row r="227" spans="1:1">
      <c r="A227" s="337"/>
    </row>
    <row r="228" spans="1:1">
      <c r="A228" s="337"/>
    </row>
    <row r="229" spans="1:1">
      <c r="A229" s="337"/>
    </row>
    <row r="230" spans="1:1">
      <c r="A230" s="337"/>
    </row>
    <row r="231" spans="1:1">
      <c r="A231" s="337"/>
    </row>
    <row r="232" spans="1:1">
      <c r="A232" s="337"/>
    </row>
    <row r="233" spans="1:1">
      <c r="A233" s="337"/>
    </row>
    <row r="234" spans="1:1">
      <c r="A234" s="337"/>
    </row>
    <row r="235" spans="1:1">
      <c r="A235" s="337"/>
    </row>
    <row r="236" spans="1:1">
      <c r="A236" s="337"/>
    </row>
    <row r="237" spans="1:1">
      <c r="A237" s="337"/>
    </row>
    <row r="238" spans="1:1">
      <c r="A238" s="337"/>
    </row>
    <row r="239" spans="1:1">
      <c r="A239" s="337"/>
    </row>
    <row r="240" spans="1:1">
      <c r="A240" s="337"/>
    </row>
    <row r="241" spans="1:1">
      <c r="A241" s="337"/>
    </row>
    <row r="242" spans="1:1">
      <c r="A242" s="337"/>
    </row>
    <row r="243" spans="1:1">
      <c r="A243" s="337"/>
    </row>
    <row r="244" spans="1:1">
      <c r="A244" s="337"/>
    </row>
    <row r="245" spans="1:1">
      <c r="A245" s="337"/>
    </row>
    <row r="246" spans="1:1">
      <c r="A246" s="337"/>
    </row>
    <row r="247" spans="1:1">
      <c r="A247" s="337"/>
    </row>
    <row r="248" spans="1:1">
      <c r="A248" s="337"/>
    </row>
    <row r="249" spans="1:1">
      <c r="A249" s="337"/>
    </row>
    <row r="250" spans="1:1">
      <c r="A250" s="337"/>
    </row>
    <row r="251" spans="1:1">
      <c r="A251" s="337"/>
    </row>
    <row r="252" spans="1:1">
      <c r="A252" s="337"/>
    </row>
    <row r="253" spans="1:1">
      <c r="A253" s="337"/>
    </row>
    <row r="254" spans="1:1">
      <c r="A254" s="337"/>
    </row>
    <row r="255" spans="1:1">
      <c r="A255" s="337"/>
    </row>
    <row r="256" spans="1:1">
      <c r="A256" s="337"/>
    </row>
    <row r="257" spans="1:1">
      <c r="A257" s="337"/>
    </row>
    <row r="258" spans="1:1">
      <c r="A258" s="337"/>
    </row>
    <row r="259" spans="1:1">
      <c r="A259" s="337"/>
    </row>
    <row r="260" spans="1:1">
      <c r="A260" s="337"/>
    </row>
    <row r="261" spans="1:1">
      <c r="A261" s="337"/>
    </row>
    <row r="262" spans="1:1">
      <c r="A262" s="337"/>
    </row>
    <row r="263" spans="1:1">
      <c r="A263" s="337"/>
    </row>
    <row r="264" spans="1:1">
      <c r="A264" s="337"/>
    </row>
    <row r="265" spans="1:1">
      <c r="A265" s="337"/>
    </row>
    <row r="266" spans="1:1">
      <c r="A266" s="337"/>
    </row>
    <row r="267" spans="1:1">
      <c r="A267" s="337"/>
    </row>
    <row r="268" spans="1:1">
      <c r="A268" s="337"/>
    </row>
    <row r="269" spans="1:1">
      <c r="A269" s="337"/>
    </row>
    <row r="270" spans="1:1">
      <c r="A270" s="337"/>
    </row>
    <row r="271" spans="1:1">
      <c r="A271" s="337"/>
    </row>
    <row r="272" spans="1:1">
      <c r="A272" s="337"/>
    </row>
    <row r="273" spans="1:1">
      <c r="A273" s="337"/>
    </row>
    <row r="274" spans="1:1">
      <c r="A274" s="337"/>
    </row>
    <row r="275" spans="1:1">
      <c r="A275" s="337"/>
    </row>
    <row r="276" spans="1:1">
      <c r="A276" s="337"/>
    </row>
    <row r="277" spans="1:1">
      <c r="A277" s="337"/>
    </row>
    <row r="278" spans="1:1">
      <c r="A278" s="337"/>
    </row>
    <row r="279" spans="1:1">
      <c r="A279" s="337"/>
    </row>
    <row r="280" spans="1:1">
      <c r="A280" s="337"/>
    </row>
    <row r="281" spans="1:1">
      <c r="A281" s="337"/>
    </row>
    <row r="282" spans="1:1">
      <c r="A282" s="337"/>
    </row>
    <row r="283" spans="1:1">
      <c r="A283" s="337"/>
    </row>
    <row r="284" spans="1:1">
      <c r="A284" s="337"/>
    </row>
    <row r="285" spans="1:1">
      <c r="A285" s="337"/>
    </row>
    <row r="286" spans="1:1">
      <c r="A286" s="337"/>
    </row>
    <row r="287" spans="1:1">
      <c r="A287" s="337"/>
    </row>
    <row r="288" spans="1:1">
      <c r="A288" s="337"/>
    </row>
    <row r="289" spans="1:1">
      <c r="A289" s="337"/>
    </row>
    <row r="290" spans="1:1">
      <c r="A290" s="337"/>
    </row>
    <row r="291" spans="1:1">
      <c r="A291" s="337"/>
    </row>
    <row r="292" spans="1:1">
      <c r="A292" s="337"/>
    </row>
    <row r="293" spans="1:1">
      <c r="A293" s="337"/>
    </row>
    <row r="294" spans="1:1">
      <c r="A294" s="337"/>
    </row>
    <row r="295" spans="1:1">
      <c r="A295" s="337"/>
    </row>
    <row r="296" spans="1:1">
      <c r="A296" s="337"/>
    </row>
    <row r="297" spans="1:1">
      <c r="A297" s="337"/>
    </row>
    <row r="298" spans="1:1">
      <c r="A298" s="337"/>
    </row>
    <row r="299" spans="1:1">
      <c r="A299" s="337"/>
    </row>
    <row r="300" spans="1:1">
      <c r="A300" s="337"/>
    </row>
    <row r="301" spans="1:1">
      <c r="A301" s="337"/>
    </row>
    <row r="302" spans="1:1">
      <c r="A302" s="337"/>
    </row>
    <row r="303" spans="1:1">
      <c r="A303" s="337"/>
    </row>
    <row r="304" spans="1:1">
      <c r="A304" s="337"/>
    </row>
    <row r="305" spans="1:1">
      <c r="A305" s="337"/>
    </row>
    <row r="306" spans="1:1">
      <c r="A306" s="337"/>
    </row>
    <row r="307" spans="1:1">
      <c r="A307" s="337"/>
    </row>
    <row r="308" spans="1:1">
      <c r="A308" s="337"/>
    </row>
    <row r="309" spans="1:1">
      <c r="A309" s="337"/>
    </row>
    <row r="310" spans="1:1">
      <c r="A310" s="337"/>
    </row>
    <row r="311" spans="1:1">
      <c r="A311" s="337"/>
    </row>
    <row r="312" spans="1:1">
      <c r="A312" s="337"/>
    </row>
    <row r="313" spans="1:1">
      <c r="A313" s="337"/>
    </row>
    <row r="314" spans="1:1">
      <c r="A314" s="337"/>
    </row>
    <row r="315" spans="1:1">
      <c r="A315" s="337"/>
    </row>
    <row r="316" spans="1:1">
      <c r="A316" s="337"/>
    </row>
    <row r="317" spans="1:1">
      <c r="A317" s="337"/>
    </row>
    <row r="318" spans="1:1">
      <c r="A318" s="337"/>
    </row>
    <row r="319" spans="1:1">
      <c r="A319" s="337"/>
    </row>
    <row r="320" spans="1:1">
      <c r="A320" s="337"/>
    </row>
    <row r="321" spans="1:1">
      <c r="A321" s="337"/>
    </row>
    <row r="322" spans="1:1">
      <c r="A322" s="337"/>
    </row>
    <row r="323" spans="1:1">
      <c r="A323" s="337"/>
    </row>
    <row r="324" spans="1:1">
      <c r="A324" s="337"/>
    </row>
  </sheetData>
  <sheetProtection algorithmName="SHA-512" hashValue="fvMaPN2hnnDBbZEJOQgg8B3K5hM+YHsjIs3bsZbQWX0FEwRpbdzK3CKHw3TXe9VTfGAUxiacwZLl0awFPKoCwA==" saltValue="Bmh59/KZZMt1eFHly44gwQ==" spinCount="100000" sheet="1" objects="1" scenarios="1" selectLockedCells="1" selectUnlockedCells="1"/>
  <mergeCells count="14">
    <mergeCell ref="C99:F99"/>
    <mergeCell ref="H99:J99"/>
    <mergeCell ref="A7:K7"/>
    <mergeCell ref="C98:F98"/>
    <mergeCell ref="H98:J98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48" orientation="landscape" r:id="rId1"/>
  <headerFooter alignWithMargins="0"/>
  <ignoredErrors>
    <ignoredError sqref="F9 F52 F95 F48 F18 F70 F64 F59 F75 F40 F82:F85 F86:F87 F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12"/>
  <sheetViews>
    <sheetView view="pageBreakPreview" topLeftCell="A48" zoomScale="80" zoomScaleNormal="69" zoomScaleSheetLayoutView="80" workbookViewId="0">
      <selection activeCell="I71" sqref="I71"/>
    </sheetView>
  </sheetViews>
  <sheetFormatPr defaultColWidth="9.109375" defaultRowHeight="18"/>
  <cols>
    <col min="1" max="1" width="70.6640625" style="16" customWidth="1"/>
    <col min="2" max="2" width="14.5546875" style="247" customWidth="1"/>
    <col min="3" max="3" width="17.6640625" style="247" customWidth="1"/>
    <col min="4" max="4" width="18.44140625" style="247" customWidth="1"/>
    <col min="5" max="5" width="17.6640625" style="247" customWidth="1"/>
    <col min="6" max="6" width="17.44140625" style="247" customWidth="1"/>
    <col min="7" max="10" width="16.6640625" style="16" customWidth="1"/>
    <col min="11" max="11" width="9.6640625" style="16" bestFit="1" customWidth="1"/>
    <col min="12" max="16384" width="9.109375" style="16"/>
  </cols>
  <sheetData>
    <row r="1" spans="1:11" ht="14.25" customHeight="1"/>
    <row r="2" spans="1:11" ht="20.399999999999999">
      <c r="A2" s="568" t="s">
        <v>406</v>
      </c>
      <c r="B2" s="568"/>
      <c r="C2" s="568"/>
      <c r="D2" s="568"/>
      <c r="E2" s="568"/>
      <c r="F2" s="568"/>
      <c r="G2" s="568"/>
      <c r="H2" s="568"/>
    </row>
    <row r="3" spans="1:11" ht="15" customHeight="1">
      <c r="A3" s="339"/>
      <c r="B3" s="259"/>
      <c r="C3" s="339"/>
      <c r="D3" s="339"/>
      <c r="E3" s="339"/>
      <c r="F3" s="259"/>
      <c r="G3" s="339"/>
      <c r="H3" s="339"/>
      <c r="J3" s="340" t="s">
        <v>403</v>
      </c>
    </row>
    <row r="4" spans="1:11" ht="41.25" customHeight="1">
      <c r="A4" s="553" t="s">
        <v>164</v>
      </c>
      <c r="B4" s="551" t="s">
        <v>17</v>
      </c>
      <c r="C4" s="551" t="s">
        <v>673</v>
      </c>
      <c r="D4" s="551" t="s">
        <v>674</v>
      </c>
      <c r="E4" s="569" t="s">
        <v>675</v>
      </c>
      <c r="F4" s="551" t="s">
        <v>676</v>
      </c>
      <c r="G4" s="551" t="s">
        <v>329</v>
      </c>
      <c r="H4" s="551"/>
      <c r="I4" s="551"/>
      <c r="J4" s="551"/>
    </row>
    <row r="5" spans="1:11" ht="66.75" customHeight="1">
      <c r="A5" s="553"/>
      <c r="B5" s="551"/>
      <c r="C5" s="551"/>
      <c r="D5" s="551"/>
      <c r="E5" s="569"/>
      <c r="F5" s="551"/>
      <c r="G5" s="447" t="s">
        <v>126</v>
      </c>
      <c r="H5" s="447" t="s">
        <v>127</v>
      </c>
      <c r="I5" s="447" t="s">
        <v>128</v>
      </c>
      <c r="J5" s="447" t="s">
        <v>63</v>
      </c>
    </row>
    <row r="6" spans="1:11" ht="23.25" customHeight="1">
      <c r="A6" s="153">
        <v>1</v>
      </c>
      <c r="B6" s="450">
        <v>2</v>
      </c>
      <c r="C6" s="450">
        <v>3</v>
      </c>
      <c r="D6" s="450">
        <v>4</v>
      </c>
      <c r="E6" s="450">
        <v>5</v>
      </c>
      <c r="F6" s="450">
        <v>6</v>
      </c>
      <c r="G6" s="450">
        <v>7</v>
      </c>
      <c r="H6" s="450">
        <v>8</v>
      </c>
      <c r="I6" s="153">
        <v>9</v>
      </c>
      <c r="J6" s="153">
        <v>10</v>
      </c>
    </row>
    <row r="7" spans="1:11" ht="56.25" customHeight="1">
      <c r="A7" s="122" t="s">
        <v>408</v>
      </c>
      <c r="B7" s="149">
        <v>1018</v>
      </c>
      <c r="C7" s="137">
        <f t="shared" ref="C7:J7" si="0">SUM(C8:C45)</f>
        <v>-13470</v>
      </c>
      <c r="D7" s="137">
        <f t="shared" si="0"/>
        <v>-12372</v>
      </c>
      <c r="E7" s="137">
        <f t="shared" si="0"/>
        <v>-12372</v>
      </c>
      <c r="F7" s="137">
        <f t="shared" si="0"/>
        <v>-16800</v>
      </c>
      <c r="G7" s="137">
        <f t="shared" si="0"/>
        <v>-4200</v>
      </c>
      <c r="H7" s="137">
        <f t="shared" si="0"/>
        <v>-4200</v>
      </c>
      <c r="I7" s="137">
        <f t="shared" si="0"/>
        <v>-4200</v>
      </c>
      <c r="J7" s="137">
        <f t="shared" si="0"/>
        <v>-4200</v>
      </c>
      <c r="K7" s="341"/>
    </row>
    <row r="8" spans="1:11" ht="22.5" customHeight="1">
      <c r="A8" s="505" t="s">
        <v>713</v>
      </c>
      <c r="B8" s="149"/>
      <c r="C8" s="140">
        <v>-4923</v>
      </c>
      <c r="D8" s="135">
        <v>-4896</v>
      </c>
      <c r="E8" s="135">
        <f t="shared" ref="E8:E59" si="1">D8</f>
        <v>-4896</v>
      </c>
      <c r="F8" s="135">
        <f t="shared" ref="F8:F45" si="2">SUM(G8:J8)</f>
        <v>-5312</v>
      </c>
      <c r="G8" s="135">
        <v>-1328</v>
      </c>
      <c r="H8" s="135">
        <v>-1328</v>
      </c>
      <c r="I8" s="135">
        <v>-1328</v>
      </c>
      <c r="J8" s="135">
        <v>-1328</v>
      </c>
      <c r="K8" s="341"/>
    </row>
    <row r="9" spans="1:11" ht="22.5" customHeight="1">
      <c r="A9" s="505" t="s">
        <v>287</v>
      </c>
      <c r="B9" s="149"/>
      <c r="C9" s="140">
        <v>-151</v>
      </c>
      <c r="D9" s="135">
        <v>-152</v>
      </c>
      <c r="E9" s="135">
        <f t="shared" si="1"/>
        <v>-152</v>
      </c>
      <c r="F9" s="135">
        <f t="shared" si="2"/>
        <v>-164</v>
      </c>
      <c r="G9" s="135">
        <v>-41</v>
      </c>
      <c r="H9" s="135">
        <v>-41</v>
      </c>
      <c r="I9" s="135">
        <v>-41</v>
      </c>
      <c r="J9" s="135">
        <v>-41</v>
      </c>
      <c r="K9" s="341"/>
    </row>
    <row r="10" spans="1:11" ht="22.5" customHeight="1">
      <c r="A10" s="505" t="s">
        <v>526</v>
      </c>
      <c r="B10" s="149"/>
      <c r="C10" s="140">
        <v>-8</v>
      </c>
      <c r="D10" s="135">
        <v>-12</v>
      </c>
      <c r="E10" s="135">
        <f t="shared" si="1"/>
        <v>-12</v>
      </c>
      <c r="F10" s="135">
        <f t="shared" si="2"/>
        <v>-12</v>
      </c>
      <c r="G10" s="135">
        <v>-3</v>
      </c>
      <c r="H10" s="135">
        <v>-3</v>
      </c>
      <c r="I10" s="135">
        <v>-3</v>
      </c>
      <c r="J10" s="135">
        <v>-3</v>
      </c>
      <c r="K10" s="341"/>
    </row>
    <row r="11" spans="1:11" ht="22.5" hidden="1" customHeight="1">
      <c r="A11" s="505" t="s">
        <v>527</v>
      </c>
      <c r="B11" s="149"/>
      <c r="C11" s="140"/>
      <c r="D11" s="135"/>
      <c r="E11" s="135">
        <f t="shared" si="1"/>
        <v>0</v>
      </c>
      <c r="F11" s="135">
        <f t="shared" si="2"/>
        <v>0</v>
      </c>
      <c r="G11" s="135"/>
      <c r="H11" s="135"/>
      <c r="I11" s="135"/>
      <c r="J11" s="135"/>
      <c r="K11" s="341"/>
    </row>
    <row r="12" spans="1:11" ht="22.5" hidden="1" customHeight="1">
      <c r="A12" s="505" t="s">
        <v>528</v>
      </c>
      <c r="B12" s="149"/>
      <c r="C12" s="140"/>
      <c r="D12" s="139"/>
      <c r="E12" s="135">
        <f t="shared" si="1"/>
        <v>0</v>
      </c>
      <c r="F12" s="135">
        <f t="shared" si="2"/>
        <v>0</v>
      </c>
      <c r="G12" s="135">
        <v>0</v>
      </c>
      <c r="H12" s="135">
        <v>0</v>
      </c>
      <c r="I12" s="135">
        <v>0</v>
      </c>
      <c r="J12" s="135">
        <v>0</v>
      </c>
      <c r="K12" s="341"/>
    </row>
    <row r="13" spans="1:11" ht="22.5" hidden="1" customHeight="1">
      <c r="A13" s="505" t="s">
        <v>592</v>
      </c>
      <c r="B13" s="149"/>
      <c r="C13" s="140"/>
      <c r="D13" s="135"/>
      <c r="E13" s="135">
        <f t="shared" si="1"/>
        <v>0</v>
      </c>
      <c r="F13" s="135">
        <f t="shared" si="2"/>
        <v>0</v>
      </c>
      <c r="G13" s="135">
        <v>0</v>
      </c>
      <c r="H13" s="135">
        <v>0</v>
      </c>
      <c r="I13" s="135">
        <v>0</v>
      </c>
      <c r="J13" s="135">
        <v>0</v>
      </c>
      <c r="K13" s="341"/>
    </row>
    <row r="14" spans="1:11" ht="22.5" customHeight="1">
      <c r="A14" s="505" t="s">
        <v>529</v>
      </c>
      <c r="B14" s="149"/>
      <c r="C14" s="140">
        <v>-13</v>
      </c>
      <c r="D14" s="135">
        <v>-16</v>
      </c>
      <c r="E14" s="135">
        <f t="shared" si="1"/>
        <v>-16</v>
      </c>
      <c r="F14" s="135">
        <f t="shared" si="2"/>
        <v>-12</v>
      </c>
      <c r="G14" s="135">
        <v>-3</v>
      </c>
      <c r="H14" s="135">
        <v>-3</v>
      </c>
      <c r="I14" s="135">
        <v>-3</v>
      </c>
      <c r="J14" s="135">
        <v>-3</v>
      </c>
      <c r="K14" s="341"/>
    </row>
    <row r="15" spans="1:11" ht="22.5" customHeight="1">
      <c r="A15" s="505" t="s">
        <v>582</v>
      </c>
      <c r="B15" s="149"/>
      <c r="C15" s="140">
        <v>-6</v>
      </c>
      <c r="D15" s="135">
        <v>-8</v>
      </c>
      <c r="E15" s="135">
        <f t="shared" si="1"/>
        <v>-8</v>
      </c>
      <c r="F15" s="135">
        <f t="shared" si="2"/>
        <v>-4</v>
      </c>
      <c r="G15" s="135">
        <v>-1</v>
      </c>
      <c r="H15" s="135">
        <v>-1</v>
      </c>
      <c r="I15" s="135">
        <v>-1</v>
      </c>
      <c r="J15" s="135">
        <v>-1</v>
      </c>
      <c r="K15" s="341"/>
    </row>
    <row r="16" spans="1:11" ht="22.5" customHeight="1">
      <c r="A16" s="505" t="s">
        <v>583</v>
      </c>
      <c r="B16" s="149"/>
      <c r="C16" s="140">
        <v>-14</v>
      </c>
      <c r="D16" s="135">
        <v>-12</v>
      </c>
      <c r="E16" s="135">
        <f t="shared" si="1"/>
        <v>-12</v>
      </c>
      <c r="F16" s="135">
        <f t="shared" si="2"/>
        <v>-20</v>
      </c>
      <c r="G16" s="135">
        <v>-5</v>
      </c>
      <c r="H16" s="135">
        <v>-5</v>
      </c>
      <c r="I16" s="135">
        <v>-5</v>
      </c>
      <c r="J16" s="135">
        <v>-5</v>
      </c>
      <c r="K16" s="341"/>
    </row>
    <row r="17" spans="1:11" ht="22.5" customHeight="1">
      <c r="A17" s="505" t="s">
        <v>593</v>
      </c>
      <c r="B17" s="149"/>
      <c r="C17" s="140">
        <v>-251</v>
      </c>
      <c r="D17" s="135">
        <v>-160</v>
      </c>
      <c r="E17" s="135">
        <f t="shared" si="1"/>
        <v>-160</v>
      </c>
      <c r="F17" s="135">
        <f t="shared" si="2"/>
        <v>-232</v>
      </c>
      <c r="G17" s="135">
        <v>-58</v>
      </c>
      <c r="H17" s="135">
        <v>-58</v>
      </c>
      <c r="I17" s="135">
        <v>-58</v>
      </c>
      <c r="J17" s="135">
        <v>-58</v>
      </c>
      <c r="K17" s="341"/>
    </row>
    <row r="18" spans="1:11" ht="22.5" customHeight="1">
      <c r="A18" s="505" t="s">
        <v>584</v>
      </c>
      <c r="B18" s="149"/>
      <c r="C18" s="140">
        <v>-41</v>
      </c>
      <c r="D18" s="135"/>
      <c r="E18" s="135"/>
      <c r="F18" s="135">
        <f t="shared" si="2"/>
        <v>0</v>
      </c>
      <c r="G18" s="135"/>
      <c r="H18" s="135"/>
      <c r="I18" s="135"/>
      <c r="J18" s="135"/>
      <c r="K18" s="341"/>
    </row>
    <row r="19" spans="1:11" ht="22.5" hidden="1" customHeight="1">
      <c r="A19" s="505" t="s">
        <v>594</v>
      </c>
      <c r="B19" s="149"/>
      <c r="C19" s="140"/>
      <c r="D19" s="135"/>
      <c r="E19" s="135">
        <f t="shared" si="1"/>
        <v>0</v>
      </c>
      <c r="F19" s="135">
        <f t="shared" si="2"/>
        <v>0</v>
      </c>
      <c r="G19" s="135"/>
      <c r="H19" s="135"/>
      <c r="I19" s="135"/>
      <c r="J19" s="135"/>
      <c r="K19" s="341"/>
    </row>
    <row r="20" spans="1:11" ht="22.5" hidden="1" customHeight="1">
      <c r="A20" s="505" t="s">
        <v>596</v>
      </c>
      <c r="B20" s="149"/>
      <c r="C20" s="140"/>
      <c r="D20" s="135"/>
      <c r="E20" s="135">
        <f t="shared" si="1"/>
        <v>0</v>
      </c>
      <c r="F20" s="135">
        <f t="shared" si="2"/>
        <v>0</v>
      </c>
      <c r="G20" s="135"/>
      <c r="H20" s="135"/>
      <c r="I20" s="135"/>
      <c r="J20" s="135"/>
      <c r="K20" s="341"/>
    </row>
    <row r="21" spans="1:11" ht="22.5" customHeight="1">
      <c r="A21" s="505" t="s">
        <v>530</v>
      </c>
      <c r="B21" s="149"/>
      <c r="C21" s="140">
        <v>-10</v>
      </c>
      <c r="D21" s="135"/>
      <c r="E21" s="135"/>
      <c r="F21" s="135">
        <f t="shared" si="2"/>
        <v>0</v>
      </c>
      <c r="G21" s="135"/>
      <c r="H21" s="135"/>
      <c r="I21" s="135"/>
      <c r="J21" s="135"/>
      <c r="K21" s="341"/>
    </row>
    <row r="22" spans="1:11" ht="22.5" customHeight="1">
      <c r="A22" s="505" t="s">
        <v>531</v>
      </c>
      <c r="B22" s="149"/>
      <c r="C22" s="140">
        <v>-5</v>
      </c>
      <c r="D22" s="135">
        <v>-8</v>
      </c>
      <c r="E22" s="135">
        <f t="shared" si="1"/>
        <v>-8</v>
      </c>
      <c r="F22" s="135">
        <f t="shared" si="2"/>
        <v>-8</v>
      </c>
      <c r="G22" s="135">
        <v>-2</v>
      </c>
      <c r="H22" s="135">
        <v>-2</v>
      </c>
      <c r="I22" s="135">
        <v>-2</v>
      </c>
      <c r="J22" s="135">
        <v>-2</v>
      </c>
      <c r="K22" s="341"/>
    </row>
    <row r="23" spans="1:11" ht="22.5" customHeight="1">
      <c r="A23" s="505" t="s">
        <v>532</v>
      </c>
      <c r="B23" s="149"/>
      <c r="C23" s="140">
        <v>-12</v>
      </c>
      <c r="D23" s="135">
        <v>-4</v>
      </c>
      <c r="E23" s="135">
        <f t="shared" si="1"/>
        <v>-4</v>
      </c>
      <c r="F23" s="135">
        <f t="shared" si="2"/>
        <v>0</v>
      </c>
      <c r="G23" s="135"/>
      <c r="H23" s="135"/>
      <c r="I23" s="135"/>
      <c r="J23" s="135"/>
      <c r="K23" s="341"/>
    </row>
    <row r="24" spans="1:11" ht="22.5" customHeight="1">
      <c r="A24" s="505" t="s">
        <v>533</v>
      </c>
      <c r="B24" s="149"/>
      <c r="C24" s="140">
        <v>-719</v>
      </c>
      <c r="D24" s="135">
        <v>-764</v>
      </c>
      <c r="E24" s="135">
        <f t="shared" si="1"/>
        <v>-764</v>
      </c>
      <c r="F24" s="135">
        <f t="shared" si="2"/>
        <v>-1020</v>
      </c>
      <c r="G24" s="135">
        <v>-255</v>
      </c>
      <c r="H24" s="135">
        <v>-255</v>
      </c>
      <c r="I24" s="135">
        <v>-255</v>
      </c>
      <c r="J24" s="135">
        <v>-255</v>
      </c>
      <c r="K24" s="341"/>
    </row>
    <row r="25" spans="1:11" ht="22.5" customHeight="1">
      <c r="A25" s="505" t="s">
        <v>534</v>
      </c>
      <c r="B25" s="149"/>
      <c r="C25" s="140">
        <v>-3</v>
      </c>
      <c r="D25" s="135">
        <v>-4</v>
      </c>
      <c r="E25" s="135">
        <f t="shared" si="1"/>
        <v>-4</v>
      </c>
      <c r="F25" s="135">
        <f t="shared" si="2"/>
        <v>-4</v>
      </c>
      <c r="G25" s="135">
        <v>-1</v>
      </c>
      <c r="H25" s="135">
        <v>-1</v>
      </c>
      <c r="I25" s="135">
        <v>-1</v>
      </c>
      <c r="J25" s="135">
        <v>-1</v>
      </c>
      <c r="K25" s="341"/>
    </row>
    <row r="26" spans="1:11" ht="22.5" hidden="1" customHeight="1">
      <c r="A26" s="505" t="s">
        <v>535</v>
      </c>
      <c r="B26" s="149"/>
      <c r="C26" s="140"/>
      <c r="D26" s="135"/>
      <c r="E26" s="135"/>
      <c r="F26" s="135">
        <f t="shared" si="2"/>
        <v>0</v>
      </c>
      <c r="G26" s="135"/>
      <c r="H26" s="135"/>
      <c r="I26" s="135"/>
      <c r="J26" s="135"/>
      <c r="K26" s="341"/>
    </row>
    <row r="27" spans="1:11" ht="22.5" customHeight="1">
      <c r="A27" s="505" t="s">
        <v>536</v>
      </c>
      <c r="B27" s="149"/>
      <c r="C27" s="140">
        <v>-3</v>
      </c>
      <c r="D27" s="135">
        <v>-4</v>
      </c>
      <c r="E27" s="135">
        <v>-4</v>
      </c>
      <c r="F27" s="135">
        <f t="shared" si="2"/>
        <v>0</v>
      </c>
      <c r="G27" s="135"/>
      <c r="H27" s="135"/>
      <c r="I27" s="135"/>
      <c r="J27" s="135"/>
      <c r="K27" s="341"/>
    </row>
    <row r="28" spans="1:11" ht="22.5" hidden="1" customHeight="1">
      <c r="A28" s="505" t="s">
        <v>585</v>
      </c>
      <c r="B28" s="149"/>
      <c r="C28" s="140"/>
      <c r="D28" s="135"/>
      <c r="E28" s="135"/>
      <c r="F28" s="135">
        <f t="shared" si="2"/>
        <v>0</v>
      </c>
      <c r="G28" s="135"/>
      <c r="H28" s="135"/>
      <c r="I28" s="135"/>
      <c r="J28" s="135"/>
      <c r="K28" s="341"/>
    </row>
    <row r="29" spans="1:11" ht="22.5" hidden="1" customHeight="1">
      <c r="A29" s="505" t="s">
        <v>586</v>
      </c>
      <c r="B29" s="149"/>
      <c r="C29" s="140"/>
      <c r="D29" s="135"/>
      <c r="E29" s="135">
        <f t="shared" si="1"/>
        <v>0</v>
      </c>
      <c r="F29" s="135">
        <f t="shared" si="2"/>
        <v>0</v>
      </c>
      <c r="G29" s="135"/>
      <c r="H29" s="135"/>
      <c r="I29" s="135"/>
      <c r="J29" s="135"/>
      <c r="K29" s="341"/>
    </row>
    <row r="30" spans="1:11" ht="35.25" customHeight="1">
      <c r="A30" s="506" t="s">
        <v>605</v>
      </c>
      <c r="B30" s="149"/>
      <c r="C30" s="140">
        <v>-3635</v>
      </c>
      <c r="D30" s="135">
        <v>-3612</v>
      </c>
      <c r="E30" s="135">
        <f t="shared" si="1"/>
        <v>-3612</v>
      </c>
      <c r="F30" s="135">
        <f t="shared" si="2"/>
        <v>-5680</v>
      </c>
      <c r="G30" s="135">
        <v>-1420</v>
      </c>
      <c r="H30" s="135">
        <v>-1420</v>
      </c>
      <c r="I30" s="135">
        <v>-1420</v>
      </c>
      <c r="J30" s="135">
        <v>-1420</v>
      </c>
      <c r="K30" s="341"/>
    </row>
    <row r="31" spans="1:11" ht="22.5" hidden="1" customHeight="1">
      <c r="A31" s="505" t="s">
        <v>537</v>
      </c>
      <c r="B31" s="149"/>
      <c r="C31" s="140"/>
      <c r="D31" s="135"/>
      <c r="E31" s="135">
        <f t="shared" si="1"/>
        <v>0</v>
      </c>
      <c r="F31" s="135">
        <f t="shared" si="2"/>
        <v>0</v>
      </c>
      <c r="G31" s="135"/>
      <c r="H31" s="135"/>
      <c r="I31" s="135"/>
      <c r="J31" s="135"/>
      <c r="K31" s="341"/>
    </row>
    <row r="32" spans="1:11" ht="22.5" hidden="1" customHeight="1">
      <c r="A32" s="505" t="s">
        <v>661</v>
      </c>
      <c r="B32" s="149"/>
      <c r="C32" s="140"/>
      <c r="D32" s="135"/>
      <c r="E32" s="135"/>
      <c r="F32" s="135">
        <f t="shared" si="2"/>
        <v>0</v>
      </c>
      <c r="G32" s="135"/>
      <c r="H32" s="135"/>
      <c r="I32" s="135"/>
      <c r="J32" s="135"/>
      <c r="K32" s="341"/>
    </row>
    <row r="33" spans="1:11" ht="22.5" customHeight="1">
      <c r="A33" s="505" t="s">
        <v>587</v>
      </c>
      <c r="B33" s="149"/>
      <c r="C33" s="140">
        <v>-34</v>
      </c>
      <c r="D33" s="135">
        <v>-40</v>
      </c>
      <c r="E33" s="135">
        <f t="shared" si="1"/>
        <v>-40</v>
      </c>
      <c r="F33" s="135">
        <f t="shared" si="2"/>
        <v>-56</v>
      </c>
      <c r="G33" s="135">
        <v>-14</v>
      </c>
      <c r="H33" s="135">
        <v>-14</v>
      </c>
      <c r="I33" s="135">
        <v>-14</v>
      </c>
      <c r="J33" s="135">
        <v>-14</v>
      </c>
      <c r="K33" s="341"/>
    </row>
    <row r="34" spans="1:11" ht="22.5" customHeight="1">
      <c r="A34" s="505" t="s">
        <v>668</v>
      </c>
      <c r="B34" s="149"/>
      <c r="C34" s="140">
        <v>-7</v>
      </c>
      <c r="D34" s="135"/>
      <c r="E34" s="135"/>
      <c r="F34" s="135">
        <f t="shared" si="2"/>
        <v>0</v>
      </c>
      <c r="G34" s="135"/>
      <c r="H34" s="135"/>
      <c r="I34" s="135"/>
      <c r="J34" s="135"/>
      <c r="K34" s="341"/>
    </row>
    <row r="35" spans="1:11" ht="22.5" customHeight="1">
      <c r="A35" s="505" t="s">
        <v>538</v>
      </c>
      <c r="B35" s="149"/>
      <c r="C35" s="140">
        <v>-1</v>
      </c>
      <c r="D35" s="135"/>
      <c r="E35" s="135"/>
      <c r="F35" s="135">
        <f t="shared" si="2"/>
        <v>0</v>
      </c>
      <c r="G35" s="135"/>
      <c r="H35" s="135"/>
      <c r="I35" s="135"/>
      <c r="J35" s="135"/>
      <c r="K35" s="341"/>
    </row>
    <row r="36" spans="1:11" ht="22.5" customHeight="1">
      <c r="A36" s="505" t="s">
        <v>597</v>
      </c>
      <c r="B36" s="149"/>
      <c r="C36" s="140"/>
      <c r="D36" s="135">
        <v>-16</v>
      </c>
      <c r="E36" s="135">
        <f t="shared" si="1"/>
        <v>-16</v>
      </c>
      <c r="F36" s="135">
        <f t="shared" si="2"/>
        <v>-24</v>
      </c>
      <c r="G36" s="135">
        <v>-6</v>
      </c>
      <c r="H36" s="135">
        <v>-6</v>
      </c>
      <c r="I36" s="135">
        <v>-6</v>
      </c>
      <c r="J36" s="135">
        <v>-6</v>
      </c>
      <c r="K36" s="341"/>
    </row>
    <row r="37" spans="1:11" ht="22.5" hidden="1" customHeight="1">
      <c r="A37" s="505" t="s">
        <v>538</v>
      </c>
      <c r="B37" s="149"/>
      <c r="C37" s="140"/>
      <c r="D37" s="135"/>
      <c r="E37" s="135">
        <f t="shared" si="1"/>
        <v>0</v>
      </c>
      <c r="F37" s="135"/>
      <c r="G37" s="135"/>
      <c r="H37" s="135"/>
      <c r="I37" s="135"/>
      <c r="J37" s="135"/>
      <c r="K37" s="341"/>
    </row>
    <row r="38" spans="1:11" ht="34.5" hidden="1" customHeight="1">
      <c r="A38" s="506" t="s">
        <v>662</v>
      </c>
      <c r="B38" s="149"/>
      <c r="C38" s="140"/>
      <c r="D38" s="135"/>
      <c r="E38" s="135"/>
      <c r="F38" s="135">
        <f t="shared" si="2"/>
        <v>0</v>
      </c>
      <c r="G38" s="135"/>
      <c r="H38" s="135"/>
      <c r="I38" s="135"/>
      <c r="J38" s="135"/>
      <c r="K38" s="341"/>
    </row>
    <row r="39" spans="1:11" ht="22.5" customHeight="1">
      <c r="A39" s="20" t="s">
        <v>539</v>
      </c>
      <c r="B39" s="149"/>
      <c r="C39" s="135">
        <v>-1</v>
      </c>
      <c r="D39" s="135">
        <v>-4</v>
      </c>
      <c r="E39" s="135">
        <f t="shared" si="1"/>
        <v>-4</v>
      </c>
      <c r="F39" s="135">
        <f t="shared" si="2"/>
        <v>0</v>
      </c>
      <c r="G39" s="135"/>
      <c r="H39" s="135"/>
      <c r="I39" s="135"/>
      <c r="J39" s="135"/>
      <c r="K39" s="341"/>
    </row>
    <row r="40" spans="1:11" ht="22.5" customHeight="1">
      <c r="A40" s="20" t="s">
        <v>620</v>
      </c>
      <c r="B40" s="149"/>
      <c r="C40" s="135">
        <v>-1</v>
      </c>
      <c r="D40" s="135"/>
      <c r="E40" s="135"/>
      <c r="F40" s="135"/>
      <c r="G40" s="135"/>
      <c r="H40" s="135"/>
      <c r="I40" s="135"/>
      <c r="J40" s="135"/>
      <c r="K40" s="341"/>
    </row>
    <row r="41" spans="1:11" ht="22.5" customHeight="1">
      <c r="A41" s="20" t="s">
        <v>621</v>
      </c>
      <c r="B41" s="149"/>
      <c r="C41" s="135">
        <v>-49</v>
      </c>
      <c r="D41" s="135"/>
      <c r="E41" s="135"/>
      <c r="F41" s="135"/>
      <c r="G41" s="135"/>
      <c r="H41" s="135"/>
      <c r="I41" s="135"/>
      <c r="J41" s="135"/>
      <c r="K41" s="341"/>
    </row>
    <row r="42" spans="1:11" ht="22.5" customHeight="1">
      <c r="A42" s="20" t="s">
        <v>677</v>
      </c>
      <c r="B42" s="149"/>
      <c r="C42" s="135">
        <v>-28</v>
      </c>
      <c r="D42" s="135"/>
      <c r="E42" s="135"/>
      <c r="F42" s="135"/>
      <c r="G42" s="135"/>
      <c r="H42" s="135"/>
      <c r="I42" s="135"/>
      <c r="J42" s="135"/>
      <c r="K42" s="341"/>
    </row>
    <row r="43" spans="1:11" ht="22.5" customHeight="1">
      <c r="A43" s="20" t="s">
        <v>622</v>
      </c>
      <c r="B43" s="149"/>
      <c r="C43" s="135">
        <v>-1</v>
      </c>
      <c r="D43" s="135"/>
      <c r="E43" s="135"/>
      <c r="F43" s="135"/>
      <c r="G43" s="135"/>
      <c r="H43" s="135"/>
      <c r="I43" s="135"/>
      <c r="J43" s="135"/>
      <c r="K43" s="341"/>
    </row>
    <row r="44" spans="1:11" ht="22.5" customHeight="1">
      <c r="A44" s="20" t="s">
        <v>617</v>
      </c>
      <c r="B44" s="149"/>
      <c r="C44" s="135">
        <v>-5</v>
      </c>
      <c r="D44" s="135">
        <v>-4</v>
      </c>
      <c r="E44" s="135">
        <v>-4</v>
      </c>
      <c r="F44" s="135">
        <f t="shared" si="2"/>
        <v>-16</v>
      </c>
      <c r="G44" s="135">
        <v>-4</v>
      </c>
      <c r="H44" s="135">
        <v>-4</v>
      </c>
      <c r="I44" s="135">
        <v>-4</v>
      </c>
      <c r="J44" s="135">
        <v>-4</v>
      </c>
      <c r="K44" s="341"/>
    </row>
    <row r="45" spans="1:11" ht="22.5" customHeight="1">
      <c r="A45" s="20" t="s">
        <v>618</v>
      </c>
      <c r="B45" s="149"/>
      <c r="C45" s="135">
        <v>-3549</v>
      </c>
      <c r="D45" s="135">
        <v>-2656</v>
      </c>
      <c r="E45" s="135">
        <v>-2656</v>
      </c>
      <c r="F45" s="135">
        <f t="shared" si="2"/>
        <v>-4236</v>
      </c>
      <c r="G45" s="135">
        <v>-1059</v>
      </c>
      <c r="H45" s="135">
        <v>-1059</v>
      </c>
      <c r="I45" s="135">
        <v>-1059</v>
      </c>
      <c r="J45" s="135">
        <v>-1059</v>
      </c>
      <c r="K45" s="341"/>
    </row>
    <row r="46" spans="1:11" s="343" customFormat="1" ht="34.5" customHeight="1">
      <c r="A46" s="122" t="s">
        <v>404</v>
      </c>
      <c r="B46" s="148">
        <v>1049</v>
      </c>
      <c r="C46" s="375">
        <f>SUM(C47:C59)</f>
        <v>-1213</v>
      </c>
      <c r="D46" s="375">
        <f>SUM(D47:D59)</f>
        <v>-1228</v>
      </c>
      <c r="E46" s="375">
        <f t="shared" si="1"/>
        <v>-1228</v>
      </c>
      <c r="F46" s="375">
        <f t="shared" ref="F46:F78" si="3">SUM(G46:J46)</f>
        <v>-1600</v>
      </c>
      <c r="G46" s="375">
        <f>SUM(G47:G59)</f>
        <v>-400</v>
      </c>
      <c r="H46" s="137">
        <f t="shared" ref="H46:J46" si="4">SUM(H47:H59)</f>
        <v>-400</v>
      </c>
      <c r="I46" s="137">
        <f t="shared" si="4"/>
        <v>-400</v>
      </c>
      <c r="J46" s="137">
        <f t="shared" si="4"/>
        <v>-400</v>
      </c>
      <c r="K46" s="341"/>
    </row>
    <row r="47" spans="1:11" s="343" customFormat="1" ht="22.5" customHeight="1">
      <c r="A47" s="505" t="s">
        <v>548</v>
      </c>
      <c r="B47" s="148"/>
      <c r="C47" s="140">
        <v>-21</v>
      </c>
      <c r="D47" s="135">
        <v>-32</v>
      </c>
      <c r="E47" s="135">
        <f t="shared" si="1"/>
        <v>-32</v>
      </c>
      <c r="F47" s="135">
        <f t="shared" si="3"/>
        <v>-64</v>
      </c>
      <c r="G47" s="135">
        <v>-16</v>
      </c>
      <c r="H47" s="135">
        <v>-16</v>
      </c>
      <c r="I47" s="135">
        <v>-16</v>
      </c>
      <c r="J47" s="135">
        <v>-16</v>
      </c>
      <c r="K47" s="341"/>
    </row>
    <row r="48" spans="1:11" s="343" customFormat="1" ht="22.5" customHeight="1">
      <c r="A48" s="505" t="s">
        <v>549</v>
      </c>
      <c r="B48" s="148"/>
      <c r="C48" s="140">
        <v>-10</v>
      </c>
      <c r="D48" s="135">
        <v>-12</v>
      </c>
      <c r="E48" s="135">
        <f t="shared" si="1"/>
        <v>-12</v>
      </c>
      <c r="F48" s="135">
        <f t="shared" si="3"/>
        <v>-24</v>
      </c>
      <c r="G48" s="135">
        <v>-6</v>
      </c>
      <c r="H48" s="135">
        <v>-6</v>
      </c>
      <c r="I48" s="135">
        <v>-6</v>
      </c>
      <c r="J48" s="135">
        <v>-6</v>
      </c>
      <c r="K48" s="341"/>
    </row>
    <row r="49" spans="1:11" s="343" customFormat="1" ht="22.5" customHeight="1">
      <c r="A49" s="505" t="s">
        <v>550</v>
      </c>
      <c r="B49" s="148"/>
      <c r="C49" s="140">
        <v>-20</v>
      </c>
      <c r="D49" s="135">
        <v>-20</v>
      </c>
      <c r="E49" s="135">
        <f t="shared" si="1"/>
        <v>-20</v>
      </c>
      <c r="F49" s="135">
        <f t="shared" si="3"/>
        <v>-24</v>
      </c>
      <c r="G49" s="135">
        <v>-6</v>
      </c>
      <c r="H49" s="135">
        <v>-6</v>
      </c>
      <c r="I49" s="135">
        <v>-6</v>
      </c>
      <c r="J49" s="135">
        <v>-6</v>
      </c>
      <c r="K49" s="341"/>
    </row>
    <row r="50" spans="1:11" s="343" customFormat="1" ht="22.5" customHeight="1">
      <c r="A50" s="505" t="s">
        <v>588</v>
      </c>
      <c r="B50" s="148"/>
      <c r="C50" s="140">
        <v>-15</v>
      </c>
      <c r="D50" s="135">
        <v>-16</v>
      </c>
      <c r="E50" s="135">
        <f t="shared" si="1"/>
        <v>-16</v>
      </c>
      <c r="F50" s="135">
        <f t="shared" si="3"/>
        <v>-20</v>
      </c>
      <c r="G50" s="135">
        <v>-5</v>
      </c>
      <c r="H50" s="135">
        <v>-5</v>
      </c>
      <c r="I50" s="135">
        <v>-5</v>
      </c>
      <c r="J50" s="135">
        <v>-5</v>
      </c>
      <c r="K50" s="341"/>
    </row>
    <row r="51" spans="1:11" s="343" customFormat="1" ht="22.5" customHeight="1">
      <c r="A51" s="505" t="s">
        <v>551</v>
      </c>
      <c r="B51" s="148"/>
      <c r="C51" s="140">
        <v>-87</v>
      </c>
      <c r="D51" s="135">
        <v>-96</v>
      </c>
      <c r="E51" s="135">
        <f t="shared" si="1"/>
        <v>-96</v>
      </c>
      <c r="F51" s="135">
        <f t="shared" si="3"/>
        <v>-160</v>
      </c>
      <c r="G51" s="135">
        <v>-40</v>
      </c>
      <c r="H51" s="135">
        <v>-40</v>
      </c>
      <c r="I51" s="135">
        <v>-40</v>
      </c>
      <c r="J51" s="135">
        <v>-40</v>
      </c>
      <c r="K51" s="341"/>
    </row>
    <row r="52" spans="1:11" s="343" customFormat="1" ht="22.5" hidden="1" customHeight="1">
      <c r="A52" s="505" t="s">
        <v>552</v>
      </c>
      <c r="B52" s="148"/>
      <c r="C52" s="140"/>
      <c r="D52" s="135">
        <v>0</v>
      </c>
      <c r="E52" s="135">
        <f t="shared" si="1"/>
        <v>0</v>
      </c>
      <c r="F52" s="135">
        <f t="shared" si="3"/>
        <v>0</v>
      </c>
      <c r="G52" s="135"/>
      <c r="H52" s="135"/>
      <c r="I52" s="135"/>
      <c r="J52" s="135"/>
      <c r="K52" s="341"/>
    </row>
    <row r="53" spans="1:11" s="343" customFormat="1" ht="22.5" customHeight="1">
      <c r="A53" s="505" t="s">
        <v>527</v>
      </c>
      <c r="B53" s="148"/>
      <c r="C53" s="140">
        <v>-600</v>
      </c>
      <c r="D53" s="135">
        <v>-560</v>
      </c>
      <c r="E53" s="135">
        <f t="shared" si="1"/>
        <v>-560</v>
      </c>
      <c r="F53" s="135">
        <f t="shared" si="3"/>
        <v>-720</v>
      </c>
      <c r="G53" s="135">
        <v>-180</v>
      </c>
      <c r="H53" s="135">
        <v>-180</v>
      </c>
      <c r="I53" s="135">
        <v>-180</v>
      </c>
      <c r="J53" s="135">
        <v>-180</v>
      </c>
      <c r="K53" s="341"/>
    </row>
    <row r="54" spans="1:11" s="343" customFormat="1" ht="22.5" customHeight="1">
      <c r="A54" s="505" t="s">
        <v>603</v>
      </c>
      <c r="B54" s="148"/>
      <c r="C54" s="140">
        <v>-370</v>
      </c>
      <c r="D54" s="135">
        <v>-396</v>
      </c>
      <c r="E54" s="135">
        <f t="shared" si="1"/>
        <v>-396</v>
      </c>
      <c r="F54" s="135">
        <f t="shared" si="3"/>
        <v>-520</v>
      </c>
      <c r="G54" s="135">
        <v>-130</v>
      </c>
      <c r="H54" s="135">
        <v>-130</v>
      </c>
      <c r="I54" s="135">
        <v>-130</v>
      </c>
      <c r="J54" s="135">
        <v>-130</v>
      </c>
      <c r="K54" s="341"/>
    </row>
    <row r="55" spans="1:11" s="343" customFormat="1" ht="22.5" hidden="1" customHeight="1">
      <c r="A55" s="506" t="s">
        <v>553</v>
      </c>
      <c r="B55" s="148"/>
      <c r="C55" s="140"/>
      <c r="D55" s="135">
        <v>0</v>
      </c>
      <c r="E55" s="135">
        <f t="shared" si="1"/>
        <v>0</v>
      </c>
      <c r="F55" s="135">
        <f t="shared" si="3"/>
        <v>0</v>
      </c>
      <c r="G55" s="135">
        <v>0</v>
      </c>
      <c r="H55" s="135">
        <v>0</v>
      </c>
      <c r="I55" s="135">
        <v>0</v>
      </c>
      <c r="J55" s="135">
        <v>0</v>
      </c>
      <c r="K55" s="341"/>
    </row>
    <row r="56" spans="1:11" s="343" customFormat="1" ht="22.5" hidden="1" customHeight="1">
      <c r="A56" s="506" t="s">
        <v>554</v>
      </c>
      <c r="B56" s="148"/>
      <c r="C56" s="140"/>
      <c r="D56" s="135">
        <v>0</v>
      </c>
      <c r="E56" s="135"/>
      <c r="F56" s="135">
        <f t="shared" si="3"/>
        <v>0</v>
      </c>
      <c r="G56" s="135"/>
      <c r="H56" s="135"/>
      <c r="I56" s="135"/>
      <c r="J56" s="135"/>
      <c r="K56" s="341"/>
    </row>
    <row r="57" spans="1:11" s="343" customFormat="1" ht="22.5" hidden="1" customHeight="1">
      <c r="A57" s="506" t="s">
        <v>555</v>
      </c>
      <c r="B57" s="148"/>
      <c r="C57" s="140"/>
      <c r="D57" s="135">
        <v>0</v>
      </c>
      <c r="E57" s="135">
        <f t="shared" si="1"/>
        <v>0</v>
      </c>
      <c r="F57" s="135">
        <f t="shared" si="3"/>
        <v>0</v>
      </c>
      <c r="G57" s="135">
        <v>0</v>
      </c>
      <c r="H57" s="135">
        <v>0</v>
      </c>
      <c r="I57" s="135">
        <v>0</v>
      </c>
      <c r="J57" s="135">
        <v>0</v>
      </c>
      <c r="K57" s="341"/>
    </row>
    <row r="58" spans="1:11" s="343" customFormat="1" ht="22.5" hidden="1" customHeight="1">
      <c r="A58" s="505" t="s">
        <v>556</v>
      </c>
      <c r="B58" s="148"/>
      <c r="C58" s="140"/>
      <c r="D58" s="135">
        <v>0</v>
      </c>
      <c r="E58" s="135">
        <f t="shared" si="1"/>
        <v>0</v>
      </c>
      <c r="F58" s="135">
        <f t="shared" si="3"/>
        <v>0</v>
      </c>
      <c r="G58" s="135">
        <v>0</v>
      </c>
      <c r="H58" s="135">
        <v>0</v>
      </c>
      <c r="I58" s="135">
        <v>0</v>
      </c>
      <c r="J58" s="135">
        <v>0</v>
      </c>
      <c r="K58" s="341"/>
    </row>
    <row r="59" spans="1:11" s="343" customFormat="1" ht="22.5" customHeight="1">
      <c r="A59" s="506" t="s">
        <v>589</v>
      </c>
      <c r="B59" s="148"/>
      <c r="C59" s="140">
        <v>-90</v>
      </c>
      <c r="D59" s="135">
        <v>-96</v>
      </c>
      <c r="E59" s="135">
        <f t="shared" si="1"/>
        <v>-96</v>
      </c>
      <c r="F59" s="135">
        <f t="shared" si="3"/>
        <v>-68</v>
      </c>
      <c r="G59" s="135">
        <v>-17</v>
      </c>
      <c r="H59" s="135">
        <v>-17</v>
      </c>
      <c r="I59" s="135">
        <v>-17</v>
      </c>
      <c r="J59" s="135">
        <v>-17</v>
      </c>
      <c r="K59" s="341"/>
    </row>
    <row r="60" spans="1:11" s="343" customFormat="1" ht="46.5" hidden="1" customHeight="1">
      <c r="A60" s="122" t="s">
        <v>415</v>
      </c>
      <c r="B60" s="148">
        <v>1067</v>
      </c>
      <c r="C60" s="137"/>
      <c r="D60" s="137"/>
      <c r="E60" s="137"/>
      <c r="F60" s="135"/>
      <c r="G60" s="135"/>
      <c r="H60" s="135"/>
      <c r="I60" s="135"/>
      <c r="J60" s="135"/>
      <c r="K60" s="341">
        <f t="shared" ref="K60" si="5">G60*1.12</f>
        <v>0</v>
      </c>
    </row>
    <row r="61" spans="1:11" s="343" customFormat="1" ht="34.5" customHeight="1">
      <c r="A61" s="122" t="s">
        <v>241</v>
      </c>
      <c r="B61" s="148">
        <v>1073</v>
      </c>
      <c r="C61" s="137">
        <f>SUM(C62:C70)</f>
        <v>276</v>
      </c>
      <c r="D61" s="137">
        <f t="shared" ref="D61" si="6">SUM(D62:D70)</f>
        <v>0</v>
      </c>
      <c r="E61" s="137">
        <f>D61</f>
        <v>0</v>
      </c>
      <c r="F61" s="135">
        <f>SUM(G61:J61)</f>
        <v>0</v>
      </c>
      <c r="G61" s="137">
        <f>SUM(G62:G65)</f>
        <v>0</v>
      </c>
      <c r="H61" s="137">
        <f>SUM(H62:H65)</f>
        <v>0</v>
      </c>
      <c r="I61" s="137">
        <f>SUM(I62:I65)</f>
        <v>0</v>
      </c>
      <c r="J61" s="137">
        <f>SUM(J62:J65)</f>
        <v>0</v>
      </c>
      <c r="K61" s="341"/>
    </row>
    <row r="62" spans="1:11" s="343" customFormat="1" ht="23.25" customHeight="1">
      <c r="A62" s="506" t="s">
        <v>540</v>
      </c>
      <c r="B62" s="148"/>
      <c r="C62" s="140">
        <v>174</v>
      </c>
      <c r="D62" s="137"/>
      <c r="E62" s="137"/>
      <c r="F62" s="135">
        <f t="shared" ref="F62:F70" si="7">SUM(G62:J62)</f>
        <v>0</v>
      </c>
      <c r="G62" s="137"/>
      <c r="H62" s="137"/>
      <c r="I62" s="137"/>
      <c r="J62" s="137"/>
      <c r="K62" s="341"/>
    </row>
    <row r="63" spans="1:11" s="343" customFormat="1" ht="23.25" customHeight="1">
      <c r="A63" s="506" t="s">
        <v>590</v>
      </c>
      <c r="B63" s="148"/>
      <c r="C63" s="140">
        <v>7</v>
      </c>
      <c r="D63" s="137"/>
      <c r="E63" s="137"/>
      <c r="F63" s="135">
        <f t="shared" si="7"/>
        <v>0</v>
      </c>
      <c r="G63" s="137"/>
      <c r="H63" s="137"/>
      <c r="I63" s="137"/>
      <c r="J63" s="137"/>
      <c r="K63" s="341"/>
    </row>
    <row r="64" spans="1:11" s="343" customFormat="1" ht="23.25" hidden="1" customHeight="1">
      <c r="A64" s="20" t="s">
        <v>604</v>
      </c>
      <c r="B64" s="148"/>
      <c r="C64" s="140"/>
      <c r="D64" s="137"/>
      <c r="E64" s="137"/>
      <c r="F64" s="135">
        <f t="shared" si="7"/>
        <v>0</v>
      </c>
      <c r="G64" s="137"/>
      <c r="H64" s="137"/>
      <c r="I64" s="137"/>
      <c r="J64" s="137"/>
      <c r="K64" s="341"/>
    </row>
    <row r="65" spans="1:11" s="343" customFormat="1" ht="23.25" customHeight="1">
      <c r="A65" s="20" t="s">
        <v>541</v>
      </c>
      <c r="B65" s="148"/>
      <c r="C65" s="140">
        <v>6</v>
      </c>
      <c r="D65" s="137"/>
      <c r="E65" s="137"/>
      <c r="F65" s="135">
        <f t="shared" si="7"/>
        <v>0</v>
      </c>
      <c r="G65" s="137"/>
      <c r="H65" s="137"/>
      <c r="I65" s="137"/>
      <c r="J65" s="137"/>
      <c r="K65" s="341"/>
    </row>
    <row r="66" spans="1:11" s="343" customFormat="1" ht="23.25" customHeight="1">
      <c r="A66" s="20" t="s">
        <v>663</v>
      </c>
      <c r="B66" s="148"/>
      <c r="C66" s="140">
        <v>-5</v>
      </c>
      <c r="D66" s="137"/>
      <c r="E66" s="137"/>
      <c r="F66" s="135">
        <f t="shared" si="7"/>
        <v>0</v>
      </c>
      <c r="G66" s="137"/>
      <c r="H66" s="137"/>
      <c r="I66" s="137"/>
      <c r="J66" s="137"/>
      <c r="K66" s="341"/>
    </row>
    <row r="67" spans="1:11" s="343" customFormat="1" ht="23.25" hidden="1" customHeight="1">
      <c r="A67" s="20" t="s">
        <v>625</v>
      </c>
      <c r="B67" s="148"/>
      <c r="C67" s="140"/>
      <c r="D67" s="137"/>
      <c r="E67" s="137"/>
      <c r="F67" s="135">
        <f t="shared" si="7"/>
        <v>0</v>
      </c>
      <c r="G67" s="137"/>
      <c r="H67" s="137"/>
      <c r="I67" s="137"/>
      <c r="J67" s="137"/>
      <c r="K67" s="341"/>
    </row>
    <row r="68" spans="1:11" s="343" customFormat="1" ht="23.25" hidden="1" customHeight="1">
      <c r="A68" s="20" t="s">
        <v>623</v>
      </c>
      <c r="B68" s="148"/>
      <c r="C68" s="140"/>
      <c r="D68" s="137"/>
      <c r="E68" s="137"/>
      <c r="F68" s="135">
        <f t="shared" si="7"/>
        <v>0</v>
      </c>
      <c r="G68" s="137"/>
      <c r="H68" s="137"/>
      <c r="I68" s="137"/>
      <c r="J68" s="137"/>
      <c r="K68" s="341"/>
    </row>
    <row r="69" spans="1:11" s="343" customFormat="1" ht="23.25" customHeight="1">
      <c r="A69" s="20" t="s">
        <v>624</v>
      </c>
      <c r="B69" s="148"/>
      <c r="C69" s="140">
        <v>65</v>
      </c>
      <c r="D69" s="137"/>
      <c r="E69" s="137"/>
      <c r="F69" s="135">
        <f t="shared" si="7"/>
        <v>0</v>
      </c>
      <c r="G69" s="137"/>
      <c r="H69" s="137"/>
      <c r="I69" s="137"/>
      <c r="J69" s="137"/>
      <c r="K69" s="341"/>
    </row>
    <row r="70" spans="1:11" s="343" customFormat="1" ht="23.25" customHeight="1">
      <c r="A70" s="20" t="s">
        <v>678</v>
      </c>
      <c r="B70" s="148"/>
      <c r="C70" s="140">
        <v>29</v>
      </c>
      <c r="D70" s="135"/>
      <c r="E70" s="137"/>
      <c r="F70" s="135">
        <f t="shared" si="7"/>
        <v>0</v>
      </c>
      <c r="G70" s="137"/>
      <c r="H70" s="137"/>
      <c r="I70" s="137"/>
      <c r="J70" s="137"/>
      <c r="K70" s="341"/>
    </row>
    <row r="71" spans="1:11" s="343" customFormat="1" ht="34.5" customHeight="1">
      <c r="A71" s="122" t="s">
        <v>409</v>
      </c>
      <c r="B71" s="148">
        <v>1086</v>
      </c>
      <c r="C71" s="137">
        <f>SUM(C72:C77)</f>
        <v>-5</v>
      </c>
      <c r="D71" s="137">
        <f>SUM(D72:D77)</f>
        <v>0</v>
      </c>
      <c r="E71" s="137">
        <f>D71</f>
        <v>0</v>
      </c>
      <c r="F71" s="137">
        <f t="shared" si="3"/>
        <v>36</v>
      </c>
      <c r="G71" s="137">
        <f>SUM(G72:G78)</f>
        <v>9</v>
      </c>
      <c r="H71" s="137">
        <f t="shared" ref="H71:J71" si="8">SUM(H72:H78)</f>
        <v>9</v>
      </c>
      <c r="I71" s="137">
        <f t="shared" si="8"/>
        <v>9</v>
      </c>
      <c r="J71" s="137">
        <f t="shared" si="8"/>
        <v>9</v>
      </c>
      <c r="K71" s="341"/>
    </row>
    <row r="72" spans="1:11" s="343" customFormat="1" ht="22.5" hidden="1" customHeight="1">
      <c r="A72" s="505" t="s">
        <v>542</v>
      </c>
      <c r="B72" s="148"/>
      <c r="C72" s="140"/>
      <c r="D72" s="137"/>
      <c r="E72" s="137"/>
      <c r="F72" s="135">
        <f t="shared" si="3"/>
        <v>0</v>
      </c>
      <c r="G72" s="137"/>
      <c r="H72" s="137"/>
      <c r="I72" s="137"/>
      <c r="J72" s="137"/>
      <c r="K72" s="341"/>
    </row>
    <row r="73" spans="1:11" s="343" customFormat="1" ht="22.5" hidden="1" customHeight="1">
      <c r="A73" s="505" t="s">
        <v>543</v>
      </c>
      <c r="B73" s="148"/>
      <c r="C73" s="140"/>
      <c r="D73" s="137"/>
      <c r="E73" s="137"/>
      <c r="F73" s="135">
        <f t="shared" si="3"/>
        <v>0</v>
      </c>
      <c r="G73" s="137"/>
      <c r="H73" s="137"/>
      <c r="I73" s="137"/>
      <c r="J73" s="137"/>
      <c r="K73" s="341"/>
    </row>
    <row r="74" spans="1:11" s="343" customFormat="1" ht="22.5" customHeight="1">
      <c r="A74" s="505" t="s">
        <v>544</v>
      </c>
      <c r="B74" s="148"/>
      <c r="C74" s="140">
        <v>-1</v>
      </c>
      <c r="D74" s="137"/>
      <c r="E74" s="137"/>
      <c r="F74" s="135">
        <f t="shared" si="3"/>
        <v>0</v>
      </c>
      <c r="G74" s="137"/>
      <c r="H74" s="137"/>
      <c r="I74" s="137"/>
      <c r="J74" s="137"/>
      <c r="K74" s="341"/>
    </row>
    <row r="75" spans="1:11" s="343" customFormat="1" ht="22.5" customHeight="1">
      <c r="A75" s="505" t="s">
        <v>543</v>
      </c>
      <c r="B75" s="148"/>
      <c r="C75" s="140">
        <v>-1</v>
      </c>
      <c r="D75" s="137"/>
      <c r="E75" s="137"/>
      <c r="F75" s="135">
        <f t="shared" si="3"/>
        <v>0</v>
      </c>
      <c r="G75" s="137"/>
      <c r="H75" s="137"/>
      <c r="I75" s="137"/>
      <c r="J75" s="137"/>
      <c r="K75" s="341"/>
    </row>
    <row r="76" spans="1:11" s="343" customFormat="1" ht="22.5" hidden="1" customHeight="1">
      <c r="A76" s="505" t="s">
        <v>512</v>
      </c>
      <c r="B76" s="148"/>
      <c r="C76" s="140"/>
      <c r="D76" s="137"/>
      <c r="E76" s="137"/>
      <c r="F76" s="135">
        <f t="shared" si="3"/>
        <v>0</v>
      </c>
      <c r="G76" s="137"/>
      <c r="H76" s="137"/>
      <c r="I76" s="137"/>
      <c r="J76" s="137"/>
      <c r="K76" s="341"/>
    </row>
    <row r="77" spans="1:11" s="343" customFormat="1" ht="22.5" customHeight="1">
      <c r="A77" s="20" t="s">
        <v>604</v>
      </c>
      <c r="B77" s="148"/>
      <c r="C77" s="140">
        <v>-3</v>
      </c>
      <c r="D77" s="137"/>
      <c r="E77" s="137"/>
      <c r="F77" s="135">
        <f t="shared" si="3"/>
        <v>0</v>
      </c>
      <c r="G77" s="137"/>
      <c r="H77" s="137"/>
      <c r="I77" s="137"/>
      <c r="J77" s="137"/>
      <c r="K77" s="341"/>
    </row>
    <row r="78" spans="1:11" s="343" customFormat="1" ht="22.5" customHeight="1">
      <c r="A78" s="20" t="s">
        <v>714</v>
      </c>
      <c r="B78" s="148"/>
      <c r="C78" s="140"/>
      <c r="D78" s="137"/>
      <c r="E78" s="137"/>
      <c r="F78" s="135">
        <f t="shared" si="3"/>
        <v>36</v>
      </c>
      <c r="G78" s="135">
        <v>9</v>
      </c>
      <c r="H78" s="135">
        <v>9</v>
      </c>
      <c r="I78" s="135">
        <v>9</v>
      </c>
      <c r="J78" s="135">
        <v>9</v>
      </c>
      <c r="K78" s="341"/>
    </row>
    <row r="79" spans="1:11" s="343" customFormat="1" ht="34.5" hidden="1" customHeight="1">
      <c r="A79" s="122" t="s">
        <v>431</v>
      </c>
      <c r="B79" s="148">
        <v>1152</v>
      </c>
      <c r="C79" s="137">
        <f>SUM(C80:C82)</f>
        <v>528</v>
      </c>
      <c r="D79" s="137">
        <f>SUM(D80:D82)</f>
        <v>528</v>
      </c>
      <c r="E79" s="137">
        <f t="shared" ref="E79:E82" si="9">D79</f>
        <v>528</v>
      </c>
      <c r="F79" s="137">
        <f>SUM(G79:J79)</f>
        <v>528</v>
      </c>
      <c r="G79" s="137">
        <f>SUM(G80:G82)</f>
        <v>132</v>
      </c>
      <c r="H79" s="137">
        <f>SUM(H80:H82)</f>
        <v>132</v>
      </c>
      <c r="I79" s="137">
        <f>SUM(I80:I82)</f>
        <v>132</v>
      </c>
      <c r="J79" s="137">
        <f>SUM(J80:J82)</f>
        <v>132</v>
      </c>
      <c r="K79" s="341"/>
    </row>
    <row r="80" spans="1:11" s="343" customFormat="1" ht="20.100000000000001" hidden="1" customHeight="1">
      <c r="A80" s="505" t="s">
        <v>488</v>
      </c>
      <c r="B80" s="148"/>
      <c r="C80" s="147"/>
      <c r="D80" s="135"/>
      <c r="E80" s="137">
        <f t="shared" si="9"/>
        <v>0</v>
      </c>
      <c r="F80" s="137">
        <f t="shared" ref="F80:F82" si="10">SUM(G80:J80)</f>
        <v>0</v>
      </c>
      <c r="G80" s="135"/>
      <c r="H80" s="135"/>
      <c r="I80" s="141"/>
      <c r="J80" s="141"/>
      <c r="K80" s="341"/>
    </row>
    <row r="81" spans="1:11" s="343" customFormat="1" ht="21.75" hidden="1" customHeight="1">
      <c r="A81" s="20" t="s">
        <v>626</v>
      </c>
      <c r="B81" s="148"/>
      <c r="C81" s="147"/>
      <c r="D81" s="135"/>
      <c r="E81" s="137"/>
      <c r="F81" s="143" t="s">
        <v>519</v>
      </c>
      <c r="G81" s="135"/>
      <c r="H81" s="135"/>
      <c r="I81" s="141"/>
      <c r="J81" s="141"/>
      <c r="K81" s="341"/>
    </row>
    <row r="82" spans="1:11" s="343" customFormat="1" ht="39.75" hidden="1" customHeight="1">
      <c r="A82" s="506" t="s">
        <v>545</v>
      </c>
      <c r="B82" s="148"/>
      <c r="C82" s="147">
        <v>528</v>
      </c>
      <c r="D82" s="135">
        <v>528</v>
      </c>
      <c r="E82" s="135">
        <f t="shared" si="9"/>
        <v>528</v>
      </c>
      <c r="F82" s="135">
        <f t="shared" si="10"/>
        <v>528</v>
      </c>
      <c r="G82" s="135">
        <v>132</v>
      </c>
      <c r="H82" s="135">
        <v>132</v>
      </c>
      <c r="I82" s="135">
        <v>132</v>
      </c>
      <c r="J82" s="135">
        <v>132</v>
      </c>
      <c r="K82" s="341"/>
    </row>
    <row r="83" spans="1:11" s="343" customFormat="1" ht="33" customHeight="1">
      <c r="A83" s="122" t="s">
        <v>430</v>
      </c>
      <c r="B83" s="148">
        <v>1162</v>
      </c>
      <c r="C83" s="137">
        <f>SUM(C84:C87)</f>
        <v>-46</v>
      </c>
      <c r="D83" s="137">
        <f>SUM(D84:D87)</f>
        <v>0</v>
      </c>
      <c r="E83" s="137">
        <f t="shared" ref="E83" si="11">D83</f>
        <v>0</v>
      </c>
      <c r="F83" s="137">
        <f>SUM(G83:J83)</f>
        <v>-36</v>
      </c>
      <c r="G83" s="137">
        <f>SUM(G84:G87)</f>
        <v>-9</v>
      </c>
      <c r="H83" s="137">
        <f>SUM(H84:H87)</f>
        <v>-9</v>
      </c>
      <c r="I83" s="137">
        <f>SUM(I84:I87)</f>
        <v>-9</v>
      </c>
      <c r="J83" s="137">
        <f>SUM(J84:J87)</f>
        <v>-9</v>
      </c>
      <c r="K83" s="341"/>
    </row>
    <row r="84" spans="1:11" s="343" customFormat="1" ht="21.75" customHeight="1">
      <c r="A84" s="505" t="s">
        <v>546</v>
      </c>
      <c r="B84" s="148"/>
      <c r="C84" s="140">
        <v>-30</v>
      </c>
      <c r="D84" s="135"/>
      <c r="E84" s="137"/>
      <c r="F84" s="135">
        <f t="shared" ref="F84:F86" si="12">SUM(G84:J84)</f>
        <v>-36</v>
      </c>
      <c r="G84" s="135">
        <v>-9</v>
      </c>
      <c r="H84" s="135">
        <v>-9</v>
      </c>
      <c r="I84" s="136">
        <v>-9</v>
      </c>
      <c r="J84" s="136">
        <v>-9</v>
      </c>
      <c r="K84" s="341"/>
    </row>
    <row r="85" spans="1:11" s="343" customFormat="1" ht="21.75" customHeight="1">
      <c r="A85" s="505" t="s">
        <v>547</v>
      </c>
      <c r="B85" s="148"/>
      <c r="C85" s="140">
        <v>-16</v>
      </c>
      <c r="D85" s="135"/>
      <c r="E85" s="137"/>
      <c r="F85" s="135">
        <f t="shared" si="12"/>
        <v>0</v>
      </c>
      <c r="G85" s="135"/>
      <c r="H85" s="135"/>
      <c r="I85" s="141"/>
      <c r="J85" s="141"/>
      <c r="K85" s="341"/>
    </row>
    <row r="86" spans="1:11" s="343" customFormat="1" ht="21.75" hidden="1" customHeight="1">
      <c r="A86" s="342" t="s">
        <v>627</v>
      </c>
      <c r="B86" s="148"/>
      <c r="C86" s="140"/>
      <c r="D86" s="135"/>
      <c r="E86" s="137"/>
      <c r="F86" s="135">
        <f t="shared" si="12"/>
        <v>0</v>
      </c>
      <c r="G86" s="135"/>
      <c r="H86" s="135"/>
      <c r="I86" s="141"/>
      <c r="J86" s="141"/>
      <c r="K86" s="341"/>
    </row>
    <row r="87" spans="1:11" s="343" customFormat="1" ht="20.100000000000001" hidden="1" customHeight="1">
      <c r="A87" s="342" t="s">
        <v>580</v>
      </c>
      <c r="B87" s="148"/>
      <c r="C87" s="140" t="s">
        <v>519</v>
      </c>
      <c r="D87" s="135"/>
      <c r="E87" s="137"/>
      <c r="F87" s="135"/>
      <c r="G87" s="135"/>
      <c r="H87" s="135"/>
      <c r="I87" s="141"/>
      <c r="J87" s="141"/>
      <c r="K87" s="341"/>
    </row>
    <row r="88" spans="1:11" ht="34.5" customHeight="1">
      <c r="A88" s="346"/>
      <c r="C88" s="347"/>
      <c r="D88" s="260"/>
      <c r="E88" s="260"/>
      <c r="F88" s="260"/>
      <c r="G88" s="260"/>
      <c r="H88" s="260"/>
    </row>
    <row r="89" spans="1:11" s="252" customFormat="1" ht="18.75" customHeight="1">
      <c r="A89" s="453" t="s">
        <v>525</v>
      </c>
      <c r="B89" s="57"/>
      <c r="C89" s="521" t="s">
        <v>156</v>
      </c>
      <c r="D89" s="521"/>
      <c r="E89" s="521"/>
      <c r="F89" s="455"/>
      <c r="G89" s="523" t="s">
        <v>702</v>
      </c>
      <c r="H89" s="523"/>
      <c r="I89" s="523"/>
    </row>
    <row r="90" spans="1:11" s="255" customFormat="1">
      <c r="A90" s="446" t="s">
        <v>365</v>
      </c>
      <c r="C90" s="570" t="s">
        <v>591</v>
      </c>
      <c r="D90" s="570"/>
      <c r="E90" s="570"/>
      <c r="G90" s="563" t="s">
        <v>82</v>
      </c>
      <c r="H90" s="563"/>
      <c r="I90" s="563"/>
    </row>
    <row r="91" spans="1:11">
      <c r="A91" s="346"/>
      <c r="C91" s="347"/>
      <c r="D91" s="260"/>
      <c r="E91" s="260"/>
      <c r="F91" s="260"/>
      <c r="G91" s="260"/>
      <c r="H91" s="260"/>
    </row>
    <row r="92" spans="1:11">
      <c r="A92" s="346"/>
      <c r="C92" s="347"/>
      <c r="D92" s="260"/>
      <c r="E92" s="260"/>
      <c r="F92" s="260"/>
      <c r="G92" s="260"/>
      <c r="H92" s="260"/>
    </row>
    <row r="93" spans="1:11">
      <c r="A93" s="346"/>
      <c r="C93" s="347"/>
      <c r="D93" s="260"/>
      <c r="E93" s="260"/>
      <c r="F93" s="260"/>
      <c r="G93" s="260"/>
      <c r="H93" s="260"/>
    </row>
    <row r="94" spans="1:11">
      <c r="A94" s="346"/>
      <c r="C94" s="347"/>
      <c r="D94" s="260"/>
      <c r="E94" s="260"/>
      <c r="F94" s="260"/>
      <c r="G94" s="260"/>
      <c r="H94" s="260"/>
    </row>
    <row r="95" spans="1:11">
      <c r="A95" s="346"/>
      <c r="C95" s="347"/>
      <c r="D95" s="260"/>
      <c r="E95" s="260"/>
      <c r="F95" s="260"/>
      <c r="G95" s="260"/>
      <c r="H95" s="260"/>
    </row>
    <row r="96" spans="1:11">
      <c r="A96" s="346"/>
      <c r="C96" s="347"/>
      <c r="D96" s="260"/>
      <c r="E96" s="260"/>
      <c r="F96" s="260"/>
      <c r="G96" s="260"/>
      <c r="H96" s="260"/>
    </row>
    <row r="97" spans="1:8">
      <c r="A97" s="346"/>
      <c r="C97" s="347"/>
      <c r="D97" s="260"/>
      <c r="E97" s="260"/>
      <c r="F97" s="260"/>
      <c r="G97" s="260"/>
      <c r="H97" s="260"/>
    </row>
    <row r="98" spans="1:8">
      <c r="A98" s="346"/>
      <c r="C98" s="347"/>
      <c r="D98" s="260"/>
      <c r="E98" s="260"/>
      <c r="F98" s="260"/>
      <c r="G98" s="260"/>
      <c r="H98" s="260"/>
    </row>
    <row r="99" spans="1:8">
      <c r="A99" s="346"/>
      <c r="C99" s="347"/>
      <c r="D99" s="260"/>
      <c r="E99" s="260"/>
      <c r="F99" s="260"/>
      <c r="G99" s="260"/>
      <c r="H99" s="260"/>
    </row>
    <row r="100" spans="1:8">
      <c r="A100" s="346"/>
      <c r="C100" s="347"/>
      <c r="D100" s="260"/>
      <c r="E100" s="260"/>
      <c r="F100" s="260"/>
      <c r="G100" s="260"/>
      <c r="H100" s="260"/>
    </row>
    <row r="101" spans="1:8">
      <c r="A101" s="346"/>
      <c r="C101" s="347"/>
      <c r="D101" s="260"/>
      <c r="E101" s="260"/>
      <c r="F101" s="260"/>
      <c r="G101" s="260"/>
      <c r="H101" s="260"/>
    </row>
    <row r="102" spans="1:8">
      <c r="A102" s="346"/>
      <c r="C102" s="347"/>
      <c r="D102" s="260"/>
      <c r="E102" s="260"/>
      <c r="F102" s="260"/>
      <c r="G102" s="260"/>
      <c r="H102" s="260"/>
    </row>
    <row r="103" spans="1:8">
      <c r="A103" s="346"/>
      <c r="C103" s="347"/>
      <c r="D103" s="260"/>
      <c r="E103" s="260"/>
      <c r="F103" s="260"/>
      <c r="G103" s="260"/>
      <c r="H103" s="260"/>
    </row>
    <row r="104" spans="1:8">
      <c r="A104" s="346"/>
      <c r="C104" s="347"/>
      <c r="D104" s="260"/>
      <c r="E104" s="260"/>
      <c r="F104" s="260"/>
      <c r="G104" s="260"/>
      <c r="H104" s="260"/>
    </row>
    <row r="105" spans="1:8">
      <c r="A105" s="346"/>
      <c r="C105" s="347"/>
      <c r="D105" s="260"/>
      <c r="E105" s="260"/>
      <c r="F105" s="260"/>
      <c r="G105" s="260"/>
      <c r="H105" s="260"/>
    </row>
    <row r="106" spans="1:8">
      <c r="A106" s="346"/>
      <c r="C106" s="347"/>
      <c r="D106" s="260"/>
      <c r="E106" s="260"/>
      <c r="F106" s="260"/>
      <c r="G106" s="260"/>
      <c r="H106" s="260"/>
    </row>
    <row r="107" spans="1:8">
      <c r="A107" s="346"/>
      <c r="C107" s="347"/>
      <c r="D107" s="260"/>
      <c r="E107" s="260"/>
      <c r="F107" s="260"/>
      <c r="G107" s="260"/>
      <c r="H107" s="260"/>
    </row>
    <row r="108" spans="1:8">
      <c r="A108" s="346"/>
      <c r="C108" s="347"/>
      <c r="D108" s="260"/>
      <c r="E108" s="260"/>
      <c r="F108" s="260"/>
      <c r="G108" s="260"/>
      <c r="H108" s="260"/>
    </row>
    <row r="109" spans="1:8">
      <c r="A109" s="346"/>
      <c r="C109" s="347"/>
      <c r="D109" s="260"/>
      <c r="E109" s="260"/>
      <c r="F109" s="260"/>
      <c r="G109" s="260"/>
      <c r="H109" s="260"/>
    </row>
    <row r="110" spans="1:8">
      <c r="A110" s="346"/>
      <c r="C110" s="347"/>
      <c r="D110" s="260"/>
      <c r="E110" s="260"/>
      <c r="F110" s="260"/>
      <c r="G110" s="260"/>
      <c r="H110" s="260"/>
    </row>
    <row r="111" spans="1:8">
      <c r="A111" s="346"/>
      <c r="C111" s="347"/>
      <c r="D111" s="260"/>
      <c r="E111" s="260"/>
      <c r="F111" s="260"/>
      <c r="G111" s="260"/>
      <c r="H111" s="260"/>
    </row>
    <row r="112" spans="1:8">
      <c r="A112" s="346"/>
      <c r="C112" s="347"/>
      <c r="D112" s="260"/>
      <c r="E112" s="260"/>
      <c r="F112" s="260"/>
      <c r="G112" s="260"/>
      <c r="H112" s="260"/>
    </row>
    <row r="113" spans="1:8">
      <c r="A113" s="346"/>
      <c r="C113" s="347"/>
      <c r="D113" s="260"/>
      <c r="E113" s="260"/>
      <c r="F113" s="260"/>
      <c r="G113" s="260"/>
      <c r="H113" s="260"/>
    </row>
    <row r="114" spans="1:8">
      <c r="A114" s="346"/>
      <c r="C114" s="347"/>
      <c r="D114" s="260"/>
      <c r="E114" s="260"/>
      <c r="F114" s="260"/>
      <c r="G114" s="260"/>
      <c r="H114" s="260"/>
    </row>
    <row r="115" spans="1:8">
      <c r="A115" s="346"/>
      <c r="C115" s="347"/>
      <c r="D115" s="260"/>
      <c r="E115" s="260"/>
      <c r="F115" s="260"/>
      <c r="G115" s="260"/>
      <c r="H115" s="260"/>
    </row>
    <row r="116" spans="1:8">
      <c r="A116" s="346"/>
      <c r="C116" s="347"/>
      <c r="D116" s="260"/>
      <c r="E116" s="260"/>
      <c r="F116" s="260"/>
      <c r="G116" s="260"/>
      <c r="H116" s="260"/>
    </row>
    <row r="117" spans="1:8">
      <c r="A117" s="346"/>
      <c r="C117" s="347"/>
      <c r="D117" s="260"/>
      <c r="E117" s="260"/>
      <c r="F117" s="260"/>
      <c r="G117" s="260"/>
      <c r="H117" s="260"/>
    </row>
    <row r="118" spans="1:8">
      <c r="A118" s="346"/>
      <c r="C118" s="347"/>
      <c r="D118" s="260"/>
      <c r="E118" s="260"/>
      <c r="F118" s="260"/>
      <c r="G118" s="260"/>
      <c r="H118" s="260"/>
    </row>
    <row r="119" spans="1:8">
      <c r="A119" s="346"/>
      <c r="C119" s="347"/>
      <c r="D119" s="260"/>
      <c r="E119" s="260"/>
      <c r="F119" s="260"/>
      <c r="G119" s="260"/>
      <c r="H119" s="260"/>
    </row>
    <row r="120" spans="1:8">
      <c r="A120" s="346"/>
      <c r="C120" s="347"/>
      <c r="D120" s="260"/>
      <c r="E120" s="260"/>
      <c r="F120" s="260"/>
      <c r="G120" s="260"/>
      <c r="H120" s="260"/>
    </row>
    <row r="121" spans="1:8">
      <c r="A121" s="346"/>
      <c r="C121" s="347"/>
      <c r="D121" s="260"/>
      <c r="E121" s="260"/>
      <c r="F121" s="260"/>
      <c r="G121" s="260"/>
      <c r="H121" s="260"/>
    </row>
    <row r="122" spans="1:8">
      <c r="A122" s="346"/>
      <c r="C122" s="347"/>
      <c r="D122" s="260"/>
      <c r="E122" s="260"/>
      <c r="F122" s="260"/>
      <c r="G122" s="260"/>
      <c r="H122" s="260"/>
    </row>
    <row r="123" spans="1:8">
      <c r="A123" s="346"/>
      <c r="C123" s="347"/>
      <c r="D123" s="260"/>
      <c r="E123" s="260"/>
      <c r="F123" s="260"/>
      <c r="G123" s="260"/>
      <c r="H123" s="260"/>
    </row>
    <row r="124" spans="1:8">
      <c r="A124" s="346"/>
      <c r="C124" s="347"/>
      <c r="D124" s="260"/>
      <c r="E124" s="260"/>
      <c r="F124" s="260"/>
      <c r="G124" s="260"/>
      <c r="H124" s="260"/>
    </row>
    <row r="125" spans="1:8">
      <c r="A125" s="346"/>
      <c r="C125" s="347"/>
      <c r="D125" s="260"/>
      <c r="E125" s="260"/>
      <c r="F125" s="260"/>
      <c r="G125" s="260"/>
      <c r="H125" s="260"/>
    </row>
    <row r="126" spans="1:8">
      <c r="A126" s="346"/>
      <c r="C126" s="347"/>
      <c r="D126" s="260"/>
      <c r="E126" s="260"/>
      <c r="F126" s="260"/>
      <c r="G126" s="260"/>
      <c r="H126" s="260"/>
    </row>
    <row r="127" spans="1:8">
      <c r="A127" s="346"/>
      <c r="C127" s="347"/>
      <c r="D127" s="260"/>
      <c r="E127" s="260"/>
      <c r="F127" s="260"/>
      <c r="G127" s="260"/>
      <c r="H127" s="260"/>
    </row>
    <row r="128" spans="1:8">
      <c r="A128" s="346"/>
      <c r="C128" s="347"/>
      <c r="D128" s="260"/>
      <c r="E128" s="260"/>
      <c r="F128" s="260"/>
      <c r="G128" s="260"/>
      <c r="H128" s="260"/>
    </row>
    <row r="129" spans="1:8">
      <c r="A129" s="346"/>
      <c r="C129" s="347"/>
      <c r="D129" s="260"/>
      <c r="E129" s="260"/>
      <c r="F129" s="260"/>
      <c r="G129" s="260"/>
      <c r="H129" s="260"/>
    </row>
    <row r="130" spans="1:8">
      <c r="A130" s="346"/>
      <c r="C130" s="347"/>
      <c r="D130" s="260"/>
      <c r="E130" s="260"/>
      <c r="F130" s="260"/>
      <c r="G130" s="260"/>
      <c r="H130" s="260"/>
    </row>
    <row r="131" spans="1:8">
      <c r="A131" s="346"/>
      <c r="C131" s="347"/>
      <c r="D131" s="260"/>
      <c r="E131" s="260"/>
      <c r="F131" s="260"/>
      <c r="G131" s="260"/>
      <c r="H131" s="260"/>
    </row>
    <row r="132" spans="1:8">
      <c r="A132" s="346"/>
      <c r="C132" s="347"/>
      <c r="D132" s="260"/>
      <c r="E132" s="260"/>
      <c r="F132" s="260"/>
      <c r="G132" s="260"/>
      <c r="H132" s="260"/>
    </row>
    <row r="133" spans="1:8">
      <c r="A133" s="346"/>
      <c r="C133" s="347"/>
      <c r="D133" s="260"/>
      <c r="E133" s="260"/>
      <c r="F133" s="260"/>
      <c r="G133" s="260"/>
      <c r="H133" s="260"/>
    </row>
    <row r="134" spans="1:8">
      <c r="A134" s="346"/>
      <c r="C134" s="347"/>
      <c r="D134" s="260"/>
      <c r="E134" s="260"/>
      <c r="F134" s="260"/>
      <c r="G134" s="260"/>
      <c r="H134" s="260"/>
    </row>
    <row r="135" spans="1:8">
      <c r="A135" s="346"/>
      <c r="C135" s="347"/>
      <c r="D135" s="260"/>
      <c r="E135" s="260"/>
      <c r="F135" s="260"/>
      <c r="G135" s="260"/>
      <c r="H135" s="260"/>
    </row>
    <row r="136" spans="1:8">
      <c r="A136" s="346"/>
      <c r="C136" s="347"/>
      <c r="D136" s="260"/>
      <c r="E136" s="260"/>
      <c r="F136" s="260"/>
      <c r="G136" s="260"/>
      <c r="H136" s="260"/>
    </row>
    <row r="137" spans="1:8">
      <c r="A137" s="346"/>
      <c r="C137" s="347"/>
      <c r="D137" s="260"/>
      <c r="E137" s="260"/>
      <c r="F137" s="260"/>
      <c r="G137" s="260"/>
      <c r="H137" s="260"/>
    </row>
    <row r="138" spans="1:8">
      <c r="A138" s="346"/>
      <c r="C138" s="347"/>
      <c r="D138" s="260"/>
      <c r="E138" s="260"/>
      <c r="F138" s="260"/>
      <c r="G138" s="260"/>
      <c r="H138" s="260"/>
    </row>
    <row r="139" spans="1:8">
      <c r="A139" s="346"/>
      <c r="C139" s="347"/>
      <c r="D139" s="260"/>
      <c r="E139" s="260"/>
      <c r="F139" s="260"/>
      <c r="G139" s="260"/>
      <c r="H139" s="260"/>
    </row>
    <row r="140" spans="1:8">
      <c r="A140" s="346"/>
      <c r="C140" s="347"/>
      <c r="D140" s="260"/>
      <c r="E140" s="260"/>
      <c r="F140" s="260"/>
      <c r="G140" s="260"/>
      <c r="H140" s="260"/>
    </row>
    <row r="141" spans="1:8">
      <c r="A141" s="346"/>
      <c r="C141" s="347"/>
      <c r="D141" s="260"/>
      <c r="E141" s="260"/>
      <c r="F141" s="260"/>
      <c r="G141" s="260"/>
      <c r="H141" s="260"/>
    </row>
    <row r="142" spans="1:8">
      <c r="A142" s="346"/>
      <c r="C142" s="347"/>
      <c r="D142" s="260"/>
      <c r="E142" s="260"/>
      <c r="F142" s="260"/>
      <c r="G142" s="260"/>
      <c r="H142" s="260"/>
    </row>
    <row r="143" spans="1:8">
      <c r="A143" s="346"/>
      <c r="C143" s="347"/>
      <c r="D143" s="260"/>
      <c r="E143" s="260"/>
      <c r="F143" s="260"/>
      <c r="G143" s="260"/>
      <c r="H143" s="260"/>
    </row>
    <row r="144" spans="1:8">
      <c r="A144" s="346"/>
      <c r="C144" s="347"/>
      <c r="D144" s="260"/>
      <c r="E144" s="260"/>
      <c r="F144" s="260"/>
      <c r="G144" s="260"/>
      <c r="H144" s="260"/>
    </row>
    <row r="145" spans="1:1">
      <c r="A145" s="346"/>
    </row>
    <row r="146" spans="1:1">
      <c r="A146" s="349"/>
    </row>
    <row r="147" spans="1:1">
      <c r="A147" s="349"/>
    </row>
    <row r="148" spans="1:1">
      <c r="A148" s="349"/>
    </row>
    <row r="149" spans="1:1">
      <c r="A149" s="349"/>
    </row>
    <row r="150" spans="1:1">
      <c r="A150" s="349"/>
    </row>
    <row r="151" spans="1:1">
      <c r="A151" s="349"/>
    </row>
    <row r="152" spans="1:1">
      <c r="A152" s="349"/>
    </row>
    <row r="153" spans="1:1">
      <c r="A153" s="349"/>
    </row>
    <row r="154" spans="1:1">
      <c r="A154" s="349"/>
    </row>
    <row r="155" spans="1:1">
      <c r="A155" s="349"/>
    </row>
    <row r="156" spans="1:1">
      <c r="A156" s="349"/>
    </row>
    <row r="157" spans="1:1">
      <c r="A157" s="349"/>
    </row>
    <row r="158" spans="1:1">
      <c r="A158" s="349"/>
    </row>
    <row r="159" spans="1:1">
      <c r="A159" s="349"/>
    </row>
    <row r="160" spans="1:1">
      <c r="A160" s="349"/>
    </row>
    <row r="161" spans="1:1">
      <c r="A161" s="349"/>
    </row>
    <row r="162" spans="1:1">
      <c r="A162" s="349"/>
    </row>
    <row r="163" spans="1:1">
      <c r="A163" s="349"/>
    </row>
    <row r="164" spans="1:1">
      <c r="A164" s="349"/>
    </row>
    <row r="165" spans="1:1">
      <c r="A165" s="349"/>
    </row>
    <row r="166" spans="1:1">
      <c r="A166" s="349"/>
    </row>
    <row r="167" spans="1:1">
      <c r="A167" s="349"/>
    </row>
    <row r="168" spans="1:1">
      <c r="A168" s="349"/>
    </row>
    <row r="169" spans="1:1">
      <c r="A169" s="349"/>
    </row>
    <row r="170" spans="1:1">
      <c r="A170" s="349"/>
    </row>
    <row r="171" spans="1:1">
      <c r="A171" s="349"/>
    </row>
    <row r="172" spans="1:1">
      <c r="A172" s="349"/>
    </row>
    <row r="173" spans="1:1">
      <c r="A173" s="349"/>
    </row>
    <row r="174" spans="1:1">
      <c r="A174" s="349"/>
    </row>
    <row r="175" spans="1:1">
      <c r="A175" s="349"/>
    </row>
    <row r="176" spans="1:1">
      <c r="A176" s="349"/>
    </row>
    <row r="177" spans="1:1">
      <c r="A177" s="349"/>
    </row>
    <row r="178" spans="1:1">
      <c r="A178" s="349"/>
    </row>
    <row r="179" spans="1:1">
      <c r="A179" s="349"/>
    </row>
    <row r="180" spans="1:1">
      <c r="A180" s="349"/>
    </row>
    <row r="181" spans="1:1">
      <c r="A181" s="349"/>
    </row>
    <row r="182" spans="1:1">
      <c r="A182" s="349"/>
    </row>
    <row r="183" spans="1:1">
      <c r="A183" s="349"/>
    </row>
    <row r="184" spans="1:1">
      <c r="A184" s="349"/>
    </row>
    <row r="185" spans="1:1">
      <c r="A185" s="349"/>
    </row>
    <row r="186" spans="1:1">
      <c r="A186" s="349"/>
    </row>
    <row r="187" spans="1:1">
      <c r="A187" s="349"/>
    </row>
    <row r="188" spans="1:1">
      <c r="A188" s="349"/>
    </row>
    <row r="189" spans="1:1">
      <c r="A189" s="349"/>
    </row>
    <row r="190" spans="1:1">
      <c r="A190" s="349"/>
    </row>
    <row r="191" spans="1:1">
      <c r="A191" s="349"/>
    </row>
    <row r="192" spans="1:1">
      <c r="A192" s="349"/>
    </row>
    <row r="193" spans="1:1">
      <c r="A193" s="349"/>
    </row>
    <row r="194" spans="1:1">
      <c r="A194" s="349"/>
    </row>
    <row r="195" spans="1:1">
      <c r="A195" s="349"/>
    </row>
    <row r="196" spans="1:1">
      <c r="A196" s="349"/>
    </row>
    <row r="197" spans="1:1">
      <c r="A197" s="349"/>
    </row>
    <row r="198" spans="1:1">
      <c r="A198" s="349"/>
    </row>
    <row r="199" spans="1:1">
      <c r="A199" s="349"/>
    </row>
    <row r="200" spans="1:1">
      <c r="A200" s="349"/>
    </row>
    <row r="201" spans="1:1">
      <c r="A201" s="349"/>
    </row>
    <row r="202" spans="1:1">
      <c r="A202" s="349"/>
    </row>
    <row r="203" spans="1:1">
      <c r="A203" s="349"/>
    </row>
    <row r="204" spans="1:1">
      <c r="A204" s="349"/>
    </row>
    <row r="205" spans="1:1">
      <c r="A205" s="349"/>
    </row>
    <row r="206" spans="1:1">
      <c r="A206" s="349"/>
    </row>
    <row r="207" spans="1:1">
      <c r="A207" s="349"/>
    </row>
    <row r="208" spans="1:1">
      <c r="A208" s="349"/>
    </row>
    <row r="209" spans="1:1">
      <c r="A209" s="349"/>
    </row>
    <row r="210" spans="1:1">
      <c r="A210" s="349"/>
    </row>
    <row r="211" spans="1:1">
      <c r="A211" s="349"/>
    </row>
    <row r="212" spans="1:1">
      <c r="A212" s="349"/>
    </row>
    <row r="213" spans="1:1">
      <c r="A213" s="349"/>
    </row>
    <row r="214" spans="1:1">
      <c r="A214" s="349"/>
    </row>
    <row r="215" spans="1:1">
      <c r="A215" s="349"/>
    </row>
    <row r="216" spans="1:1">
      <c r="A216" s="349"/>
    </row>
    <row r="217" spans="1:1">
      <c r="A217" s="349"/>
    </row>
    <row r="218" spans="1:1">
      <c r="A218" s="349"/>
    </row>
    <row r="219" spans="1:1">
      <c r="A219" s="349"/>
    </row>
    <row r="220" spans="1:1">
      <c r="A220" s="349"/>
    </row>
    <row r="221" spans="1:1">
      <c r="A221" s="349"/>
    </row>
    <row r="222" spans="1:1">
      <c r="A222" s="349"/>
    </row>
    <row r="223" spans="1:1">
      <c r="A223" s="349"/>
    </row>
    <row r="224" spans="1:1">
      <c r="A224" s="349"/>
    </row>
    <row r="225" spans="1:1">
      <c r="A225" s="349"/>
    </row>
    <row r="226" spans="1:1">
      <c r="A226" s="349"/>
    </row>
    <row r="227" spans="1:1">
      <c r="A227" s="349"/>
    </row>
    <row r="228" spans="1:1">
      <c r="A228" s="349"/>
    </row>
    <row r="229" spans="1:1">
      <c r="A229" s="349"/>
    </row>
    <row r="230" spans="1:1">
      <c r="A230" s="349"/>
    </row>
    <row r="231" spans="1:1">
      <c r="A231" s="349"/>
    </row>
    <row r="232" spans="1:1">
      <c r="A232" s="349"/>
    </row>
    <row r="233" spans="1:1">
      <c r="A233" s="349"/>
    </row>
    <row r="234" spans="1:1">
      <c r="A234" s="349"/>
    </row>
    <row r="235" spans="1:1">
      <c r="A235" s="349"/>
    </row>
    <row r="236" spans="1:1">
      <c r="A236" s="349"/>
    </row>
    <row r="237" spans="1:1">
      <c r="A237" s="349"/>
    </row>
    <row r="238" spans="1:1">
      <c r="A238" s="349"/>
    </row>
    <row r="239" spans="1:1">
      <c r="A239" s="349"/>
    </row>
    <row r="240" spans="1:1">
      <c r="A240" s="349"/>
    </row>
    <row r="241" spans="1:1">
      <c r="A241" s="349"/>
    </row>
    <row r="242" spans="1:1">
      <c r="A242" s="349"/>
    </row>
    <row r="243" spans="1:1">
      <c r="A243" s="349"/>
    </row>
    <row r="244" spans="1:1">
      <c r="A244" s="349"/>
    </row>
    <row r="245" spans="1:1">
      <c r="A245" s="349"/>
    </row>
    <row r="246" spans="1:1">
      <c r="A246" s="349"/>
    </row>
    <row r="247" spans="1:1">
      <c r="A247" s="349"/>
    </row>
    <row r="248" spans="1:1">
      <c r="A248" s="349"/>
    </row>
    <row r="249" spans="1:1">
      <c r="A249" s="349"/>
    </row>
    <row r="250" spans="1:1">
      <c r="A250" s="349"/>
    </row>
    <row r="251" spans="1:1">
      <c r="A251" s="349"/>
    </row>
    <row r="252" spans="1:1">
      <c r="A252" s="349"/>
    </row>
    <row r="253" spans="1:1">
      <c r="A253" s="349"/>
    </row>
    <row r="254" spans="1:1">
      <c r="A254" s="349"/>
    </row>
    <row r="255" spans="1:1">
      <c r="A255" s="349"/>
    </row>
    <row r="256" spans="1:1">
      <c r="A256" s="349"/>
    </row>
    <row r="257" spans="1:1">
      <c r="A257" s="349"/>
    </row>
    <row r="258" spans="1:1">
      <c r="A258" s="349"/>
    </row>
    <row r="259" spans="1:1">
      <c r="A259" s="349"/>
    </row>
    <row r="260" spans="1:1">
      <c r="A260" s="349"/>
    </row>
    <row r="261" spans="1:1">
      <c r="A261" s="349"/>
    </row>
    <row r="262" spans="1:1">
      <c r="A262" s="349"/>
    </row>
    <row r="263" spans="1:1">
      <c r="A263" s="349"/>
    </row>
    <row r="264" spans="1:1">
      <c r="A264" s="349"/>
    </row>
    <row r="265" spans="1:1">
      <c r="A265" s="349"/>
    </row>
    <row r="266" spans="1:1">
      <c r="A266" s="349"/>
    </row>
    <row r="267" spans="1:1">
      <c r="A267" s="349"/>
    </row>
    <row r="268" spans="1:1">
      <c r="A268" s="349"/>
    </row>
    <row r="269" spans="1:1">
      <c r="A269" s="349"/>
    </row>
    <row r="270" spans="1:1">
      <c r="A270" s="349"/>
    </row>
    <row r="271" spans="1:1">
      <c r="A271" s="349"/>
    </row>
    <row r="272" spans="1:1">
      <c r="A272" s="349"/>
    </row>
    <row r="273" spans="1:1">
      <c r="A273" s="349"/>
    </row>
    <row r="274" spans="1:1">
      <c r="A274" s="349"/>
    </row>
    <row r="275" spans="1:1">
      <c r="A275" s="349"/>
    </row>
    <row r="276" spans="1:1">
      <c r="A276" s="349"/>
    </row>
    <row r="277" spans="1:1">
      <c r="A277" s="349"/>
    </row>
    <row r="278" spans="1:1">
      <c r="A278" s="349"/>
    </row>
    <row r="279" spans="1:1">
      <c r="A279" s="349"/>
    </row>
    <row r="280" spans="1:1">
      <c r="A280" s="349"/>
    </row>
    <row r="281" spans="1:1">
      <c r="A281" s="349"/>
    </row>
    <row r="282" spans="1:1">
      <c r="A282" s="349"/>
    </row>
    <row r="283" spans="1:1">
      <c r="A283" s="349"/>
    </row>
    <row r="284" spans="1:1">
      <c r="A284" s="349"/>
    </row>
    <row r="285" spans="1:1">
      <c r="A285" s="349"/>
    </row>
    <row r="286" spans="1:1">
      <c r="A286" s="349"/>
    </row>
    <row r="287" spans="1:1">
      <c r="A287" s="349"/>
    </row>
    <row r="288" spans="1:1">
      <c r="A288" s="349"/>
    </row>
    <row r="289" spans="1:1">
      <c r="A289" s="349"/>
    </row>
    <row r="290" spans="1:1">
      <c r="A290" s="349"/>
    </row>
    <row r="291" spans="1:1">
      <c r="A291" s="349"/>
    </row>
    <row r="292" spans="1:1">
      <c r="A292" s="349"/>
    </row>
    <row r="293" spans="1:1">
      <c r="A293" s="349"/>
    </row>
    <row r="294" spans="1:1">
      <c r="A294" s="349"/>
    </row>
    <row r="295" spans="1:1">
      <c r="A295" s="349"/>
    </row>
    <row r="296" spans="1:1">
      <c r="A296" s="349"/>
    </row>
    <row r="297" spans="1:1">
      <c r="A297" s="349"/>
    </row>
    <row r="298" spans="1:1">
      <c r="A298" s="349"/>
    </row>
    <row r="299" spans="1:1">
      <c r="A299" s="349"/>
    </row>
    <row r="300" spans="1:1">
      <c r="A300" s="349"/>
    </row>
    <row r="301" spans="1:1">
      <c r="A301" s="349"/>
    </row>
    <row r="302" spans="1:1">
      <c r="A302" s="349"/>
    </row>
    <row r="303" spans="1:1">
      <c r="A303" s="349"/>
    </row>
    <row r="304" spans="1:1">
      <c r="A304" s="349"/>
    </row>
    <row r="305" spans="1:1">
      <c r="A305" s="349"/>
    </row>
    <row r="306" spans="1:1">
      <c r="A306" s="349"/>
    </row>
    <row r="307" spans="1:1">
      <c r="A307" s="349"/>
    </row>
    <row r="308" spans="1:1">
      <c r="A308" s="349"/>
    </row>
    <row r="309" spans="1:1">
      <c r="A309" s="349"/>
    </row>
    <row r="310" spans="1:1">
      <c r="A310" s="349"/>
    </row>
    <row r="311" spans="1:1">
      <c r="A311" s="349"/>
    </row>
    <row r="312" spans="1:1">
      <c r="A312" s="349"/>
    </row>
  </sheetData>
  <sheetProtection algorithmName="SHA-512" hashValue="Lk0nuRjJhFHdwZbqeNVojX+0wqwCnbFWTtFuAa+qO7AWTNvLOlKW1y26ZqnjKw+jY1YwI07kmhvoxg0OUL3Tgw==" saltValue="/uly+bUmmI47e+lbtBR/yw==" spinCount="100000" sheet="1" objects="1" scenarios="1" selectLockedCells="1" selectUnlockedCells="1"/>
  <mergeCells count="12">
    <mergeCell ref="A2:H2"/>
    <mergeCell ref="G89:I89"/>
    <mergeCell ref="G90:I90"/>
    <mergeCell ref="A4:A5"/>
    <mergeCell ref="B4:B5"/>
    <mergeCell ref="C4:C5"/>
    <mergeCell ref="D4:D5"/>
    <mergeCell ref="E4:E5"/>
    <mergeCell ref="F4:F5"/>
    <mergeCell ref="G4:J4"/>
    <mergeCell ref="C89:E89"/>
    <mergeCell ref="C90:E90"/>
  </mergeCells>
  <pageMargins left="0.59055118110236227" right="0.59055118110236227" top="0.98425196850393704" bottom="0.59055118110236227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197"/>
  <sheetViews>
    <sheetView view="pageBreakPreview" topLeftCell="A33" zoomScale="69" zoomScaleNormal="75" zoomScaleSheetLayoutView="69" workbookViewId="0">
      <selection activeCell="R21" sqref="R21"/>
    </sheetView>
  </sheetViews>
  <sheetFormatPr defaultColWidth="77.88671875" defaultRowHeight="21"/>
  <cols>
    <col min="1" max="1" width="102" style="68" customWidth="1"/>
    <col min="2" max="2" width="16" style="64" customWidth="1"/>
    <col min="3" max="5" width="18.44140625" style="64" customWidth="1"/>
    <col min="6" max="6" width="18.44140625" style="68" customWidth="1"/>
    <col min="7" max="7" width="15.88671875" style="68" customWidth="1"/>
    <col min="8" max="8" width="15.109375" style="68" customWidth="1"/>
    <col min="9" max="10" width="15.88671875" style="68" customWidth="1"/>
    <col min="11" max="11" width="10" style="68" customWidth="1"/>
    <col min="12" max="12" width="9.5546875" style="68" customWidth="1"/>
    <col min="13" max="255" width="9.109375" style="68" customWidth="1"/>
    <col min="256" max="16384" width="77.88671875" style="68"/>
  </cols>
  <sheetData>
    <row r="1" spans="1:10" ht="26.25" customHeight="1">
      <c r="J1" s="350" t="s">
        <v>353</v>
      </c>
    </row>
    <row r="2" spans="1:10" ht="32.25" customHeight="1">
      <c r="A2" s="575" t="s">
        <v>109</v>
      </c>
      <c r="B2" s="575"/>
      <c r="C2" s="575"/>
      <c r="D2" s="575"/>
      <c r="E2" s="575"/>
      <c r="F2" s="575"/>
      <c r="G2" s="575"/>
      <c r="H2" s="575"/>
      <c r="I2" s="575"/>
      <c r="J2" s="575"/>
    </row>
    <row r="3" spans="1:10" ht="27.75" customHeight="1">
      <c r="A3" s="64"/>
      <c r="F3" s="64"/>
      <c r="G3" s="64"/>
      <c r="H3" s="64"/>
      <c r="I3" s="64"/>
      <c r="J3" s="351" t="s">
        <v>360</v>
      </c>
    </row>
    <row r="4" spans="1:10" ht="38.25" customHeight="1">
      <c r="A4" s="553" t="s">
        <v>164</v>
      </c>
      <c r="B4" s="576" t="s">
        <v>17</v>
      </c>
      <c r="C4" s="546" t="s">
        <v>673</v>
      </c>
      <c r="D4" s="546" t="s">
        <v>674</v>
      </c>
      <c r="E4" s="544" t="s">
        <v>675</v>
      </c>
      <c r="F4" s="551" t="s">
        <v>676</v>
      </c>
      <c r="G4" s="551" t="s">
        <v>329</v>
      </c>
      <c r="H4" s="551"/>
      <c r="I4" s="551"/>
      <c r="J4" s="551"/>
    </row>
    <row r="5" spans="1:10" ht="92.25" customHeight="1">
      <c r="A5" s="553"/>
      <c r="B5" s="576"/>
      <c r="C5" s="547"/>
      <c r="D5" s="547"/>
      <c r="E5" s="545"/>
      <c r="F5" s="551"/>
      <c r="G5" s="440" t="s">
        <v>126</v>
      </c>
      <c r="H5" s="440" t="s">
        <v>127</v>
      </c>
      <c r="I5" s="440" t="s">
        <v>128</v>
      </c>
      <c r="J5" s="440" t="s">
        <v>63</v>
      </c>
    </row>
    <row r="6" spans="1:10" ht="30" customHeight="1">
      <c r="A6" s="45">
        <v>1</v>
      </c>
      <c r="B6" s="268">
        <v>2</v>
      </c>
      <c r="C6" s="268">
        <v>3</v>
      </c>
      <c r="D6" s="268">
        <v>4</v>
      </c>
      <c r="E6" s="268">
        <v>5</v>
      </c>
      <c r="F6" s="268">
        <v>6</v>
      </c>
      <c r="G6" s="268">
        <v>7</v>
      </c>
      <c r="H6" s="268">
        <v>8</v>
      </c>
      <c r="I6" s="268">
        <v>9</v>
      </c>
      <c r="J6" s="268">
        <v>10</v>
      </c>
    </row>
    <row r="7" spans="1:10" ht="35.25" customHeight="1">
      <c r="A7" s="571" t="s">
        <v>107</v>
      </c>
      <c r="B7" s="572"/>
      <c r="C7" s="572"/>
      <c r="D7" s="572"/>
      <c r="E7" s="572"/>
      <c r="F7" s="572"/>
      <c r="G7" s="572"/>
      <c r="H7" s="572"/>
      <c r="I7" s="572"/>
      <c r="J7" s="573"/>
    </row>
    <row r="8" spans="1:10" ht="45.75" customHeight="1">
      <c r="A8" s="43" t="s">
        <v>51</v>
      </c>
      <c r="B8" s="52">
        <v>2000</v>
      </c>
      <c r="C8" s="40">
        <v>-18294</v>
      </c>
      <c r="D8" s="40">
        <v>-12714</v>
      </c>
      <c r="E8" s="40">
        <f>C17</f>
        <v>-16225</v>
      </c>
      <c r="F8" s="40">
        <f>E17</f>
        <v>-10039</v>
      </c>
      <c r="G8" s="40">
        <f>F8</f>
        <v>-10039</v>
      </c>
      <c r="H8" s="40">
        <f>G17</f>
        <v>-8973</v>
      </c>
      <c r="I8" s="40">
        <f>H17</f>
        <v>-7897</v>
      </c>
      <c r="J8" s="40">
        <f>I17</f>
        <v>-6810</v>
      </c>
    </row>
    <row r="9" spans="1:10" ht="49.5" customHeight="1">
      <c r="A9" s="44" t="s">
        <v>247</v>
      </c>
      <c r="B9" s="303">
        <v>2010</v>
      </c>
      <c r="C9" s="38">
        <f>SUM(C10:C10)</f>
        <v>-230</v>
      </c>
      <c r="D9" s="38">
        <f>D10</f>
        <v>-687</v>
      </c>
      <c r="E9" s="38">
        <f>D9</f>
        <v>-687</v>
      </c>
      <c r="F9" s="38">
        <f t="shared" ref="F9:F42" si="0">SUM(G9:J9)</f>
        <v>-481</v>
      </c>
      <c r="G9" s="38">
        <f>SUM(G10:G10)</f>
        <v>-119</v>
      </c>
      <c r="H9" s="38">
        <f>SUM(H10:H10)</f>
        <v>-120</v>
      </c>
      <c r="I9" s="38">
        <f>SUM(I10:I10)</f>
        <v>-121</v>
      </c>
      <c r="J9" s="38">
        <f>SUM(J10:J10)</f>
        <v>-121</v>
      </c>
    </row>
    <row r="10" spans="1:10" ht="47.25" customHeight="1">
      <c r="A10" s="315" t="s">
        <v>371</v>
      </c>
      <c r="B10" s="303">
        <v>2011</v>
      </c>
      <c r="C10" s="38">
        <v>-230</v>
      </c>
      <c r="D10" s="38">
        <f>-'I. Фін результат'!D76*0.1</f>
        <v>-687</v>
      </c>
      <c r="E10" s="38">
        <f>D10</f>
        <v>-687</v>
      </c>
      <c r="F10" s="38">
        <f t="shared" si="0"/>
        <v>-481</v>
      </c>
      <c r="G10" s="38">
        <f>-'I. Фін результат'!G76*0.1</f>
        <v>-119</v>
      </c>
      <c r="H10" s="38">
        <f>-'I. Фін результат'!H76*0.1</f>
        <v>-120</v>
      </c>
      <c r="I10" s="38">
        <f>-'I. Фін результат'!I76*0.1</f>
        <v>-121</v>
      </c>
      <c r="J10" s="38">
        <f>-'I. Фін результат'!J76*0.1+1</f>
        <v>-121</v>
      </c>
    </row>
    <row r="11" spans="1:10" ht="32.25" customHeight="1">
      <c r="A11" s="315" t="s">
        <v>131</v>
      </c>
      <c r="B11" s="303">
        <v>2020</v>
      </c>
      <c r="C11" s="38"/>
      <c r="D11" s="38"/>
      <c r="E11" s="40">
        <f t="shared" ref="E11:E16" si="1">D11</f>
        <v>0</v>
      </c>
      <c r="F11" s="38">
        <f t="shared" si="0"/>
        <v>0</v>
      </c>
      <c r="G11" s="38"/>
      <c r="H11" s="38"/>
      <c r="I11" s="38"/>
      <c r="J11" s="38"/>
    </row>
    <row r="12" spans="1:10" ht="32.25" customHeight="1">
      <c r="A12" s="315" t="s">
        <v>60</v>
      </c>
      <c r="B12" s="303">
        <v>2030</v>
      </c>
      <c r="C12" s="38" t="s">
        <v>197</v>
      </c>
      <c r="D12" s="38" t="s">
        <v>197</v>
      </c>
      <c r="E12" s="38" t="str">
        <f t="shared" si="1"/>
        <v>(    )</v>
      </c>
      <c r="F12" s="38">
        <f t="shared" si="0"/>
        <v>0</v>
      </c>
      <c r="G12" s="38" t="s">
        <v>197</v>
      </c>
      <c r="H12" s="38" t="s">
        <v>197</v>
      </c>
      <c r="I12" s="38" t="s">
        <v>197</v>
      </c>
      <c r="J12" s="38" t="s">
        <v>197</v>
      </c>
    </row>
    <row r="13" spans="1:10" ht="38.25" customHeight="1">
      <c r="A13" s="315" t="s">
        <v>364</v>
      </c>
      <c r="B13" s="303">
        <v>2031</v>
      </c>
      <c r="C13" s="38" t="s">
        <v>197</v>
      </c>
      <c r="D13" s="38" t="s">
        <v>197</v>
      </c>
      <c r="E13" s="38" t="str">
        <f t="shared" si="1"/>
        <v>(    )</v>
      </c>
      <c r="F13" s="38">
        <f t="shared" si="0"/>
        <v>0</v>
      </c>
      <c r="G13" s="38" t="s">
        <v>197</v>
      </c>
      <c r="H13" s="38" t="s">
        <v>197</v>
      </c>
      <c r="I13" s="38" t="s">
        <v>197</v>
      </c>
      <c r="J13" s="38" t="s">
        <v>197</v>
      </c>
    </row>
    <row r="14" spans="1:10" ht="32.25" customHeight="1">
      <c r="A14" s="315" t="s">
        <v>25</v>
      </c>
      <c r="B14" s="303">
        <v>2040</v>
      </c>
      <c r="C14" s="38" t="s">
        <v>197</v>
      </c>
      <c r="D14" s="38" t="s">
        <v>197</v>
      </c>
      <c r="E14" s="38" t="str">
        <f t="shared" si="1"/>
        <v>(    )</v>
      </c>
      <c r="F14" s="38">
        <f t="shared" si="0"/>
        <v>0</v>
      </c>
      <c r="G14" s="38" t="s">
        <v>197</v>
      </c>
      <c r="H14" s="38" t="s">
        <v>197</v>
      </c>
      <c r="I14" s="38" t="s">
        <v>197</v>
      </c>
      <c r="J14" s="38" t="s">
        <v>197</v>
      </c>
    </row>
    <row r="15" spans="1:10" ht="35.25" customHeight="1">
      <c r="A15" s="315" t="s">
        <v>90</v>
      </c>
      <c r="B15" s="303">
        <v>2050</v>
      </c>
      <c r="C15" s="38" t="s">
        <v>197</v>
      </c>
      <c r="D15" s="38" t="s">
        <v>197</v>
      </c>
      <c r="E15" s="38" t="str">
        <f t="shared" si="1"/>
        <v>(    )</v>
      </c>
      <c r="F15" s="38">
        <f t="shared" si="0"/>
        <v>0</v>
      </c>
      <c r="G15" s="38" t="s">
        <v>197</v>
      </c>
      <c r="H15" s="38" t="s">
        <v>197</v>
      </c>
      <c r="I15" s="38" t="s">
        <v>197</v>
      </c>
      <c r="J15" s="38" t="s">
        <v>197</v>
      </c>
    </row>
    <row r="16" spans="1:10" ht="33.75" customHeight="1">
      <c r="A16" s="315" t="s">
        <v>91</v>
      </c>
      <c r="B16" s="303">
        <v>2060</v>
      </c>
      <c r="C16" s="38" t="s">
        <v>197</v>
      </c>
      <c r="D16" s="38" t="s">
        <v>197</v>
      </c>
      <c r="E16" s="38" t="str">
        <f t="shared" si="1"/>
        <v>(    )</v>
      </c>
      <c r="F16" s="38">
        <f t="shared" si="0"/>
        <v>0</v>
      </c>
      <c r="G16" s="38" t="s">
        <v>197</v>
      </c>
      <c r="H16" s="38" t="s">
        <v>197</v>
      </c>
      <c r="I16" s="38" t="s">
        <v>197</v>
      </c>
      <c r="J16" s="38" t="s">
        <v>197</v>
      </c>
    </row>
    <row r="17" spans="1:10" ht="48.75" customHeight="1">
      <c r="A17" s="43" t="s">
        <v>52</v>
      </c>
      <c r="B17" s="52">
        <v>2070</v>
      </c>
      <c r="C17" s="40">
        <f>SUM(C8,C9,C11,C12,C14,C15,C16)+'I. Фін результат'!C75</f>
        <v>-16225</v>
      </c>
      <c r="D17" s="40">
        <f>SUM(D8,D9,D11,D12,D14,D15,D16)+'I. Фін результат'!D75</f>
        <v>-6528</v>
      </c>
      <c r="E17" s="40">
        <f>SUM(E8,E9,E11,E12,E14,E15,E16)+'I. Фін результат'!E75</f>
        <v>-10039</v>
      </c>
      <c r="F17" s="40">
        <f>SUM(F8,F9,F11,F12,F14,F15,F16)+'I. Фін результат'!F75</f>
        <v>-5712</v>
      </c>
      <c r="G17" s="40">
        <f>SUM(G8,G9,G11,G12,G14,G15,G16)+'I. Фін результат'!G75</f>
        <v>-8973</v>
      </c>
      <c r="H17" s="40">
        <f>SUM(H8,H9,H11,H12,H14,H15,H16)+'I. Фін результат'!H75</f>
        <v>-7897</v>
      </c>
      <c r="I17" s="40">
        <f>SUM(I8,I9,I11,I12,I14,I15,I16)+'I. Фін результат'!I75</f>
        <v>-6810</v>
      </c>
      <c r="J17" s="40">
        <f>SUM(J8,J9,J11,J12,J14,J15,J16)+'I. Фін результат'!J75</f>
        <v>-5712</v>
      </c>
    </row>
    <row r="18" spans="1:10" ht="36" customHeight="1">
      <c r="A18" s="574" t="s">
        <v>366</v>
      </c>
      <c r="B18" s="574"/>
      <c r="C18" s="574"/>
      <c r="D18" s="574"/>
      <c r="E18" s="574"/>
      <c r="F18" s="574"/>
      <c r="G18" s="574"/>
      <c r="H18" s="574"/>
      <c r="I18" s="574"/>
      <c r="J18" s="574"/>
    </row>
    <row r="19" spans="1:10" ht="54" customHeight="1">
      <c r="A19" s="43" t="s">
        <v>367</v>
      </c>
      <c r="B19" s="52">
        <v>2110</v>
      </c>
      <c r="C19" s="40">
        <f>SUM(C20:C26)</f>
        <v>13066</v>
      </c>
      <c r="D19" s="40">
        <f>SUM(D20:D26)</f>
        <v>12728</v>
      </c>
      <c r="E19" s="40">
        <f>SUM(E20:E26)</f>
        <v>12622</v>
      </c>
      <c r="F19" s="40">
        <f t="shared" si="0"/>
        <v>15000</v>
      </c>
      <c r="G19" s="40">
        <f>SUM(G20:G26)</f>
        <v>3750</v>
      </c>
      <c r="H19" s="40">
        <f>SUM(H20:H26)</f>
        <v>3750</v>
      </c>
      <c r="I19" s="40">
        <f>SUM(I20:I26)</f>
        <v>3750</v>
      </c>
      <c r="J19" s="40">
        <f>SUM(J20:J26)</f>
        <v>3750</v>
      </c>
    </row>
    <row r="20" spans="1:10" ht="40.5" customHeight="1">
      <c r="A20" s="315" t="s">
        <v>336</v>
      </c>
      <c r="B20" s="303">
        <v>2111</v>
      </c>
      <c r="C20" s="38">
        <v>12518</v>
      </c>
      <c r="D20" s="38">
        <v>12040</v>
      </c>
      <c r="E20" s="38">
        <f t="shared" ref="E20:E42" si="2">D20</f>
        <v>12040</v>
      </c>
      <c r="F20" s="38">
        <f t="shared" si="0"/>
        <v>14400</v>
      </c>
      <c r="G20" s="38">
        <v>3600</v>
      </c>
      <c r="H20" s="38">
        <v>3600</v>
      </c>
      <c r="I20" s="38">
        <v>3600</v>
      </c>
      <c r="J20" s="38">
        <v>3600</v>
      </c>
    </row>
    <row r="21" spans="1:10" s="352" customFormat="1" ht="37.5" customHeight="1">
      <c r="A21" s="44" t="s">
        <v>337</v>
      </c>
      <c r="B21" s="45">
        <v>2112</v>
      </c>
      <c r="C21" s="38" t="s">
        <v>197</v>
      </c>
      <c r="D21" s="38" t="s">
        <v>197</v>
      </c>
      <c r="E21" s="38" t="str">
        <f t="shared" si="2"/>
        <v>(    )</v>
      </c>
      <c r="F21" s="38">
        <f t="shared" si="0"/>
        <v>0</v>
      </c>
      <c r="G21" s="38" t="s">
        <v>197</v>
      </c>
      <c r="H21" s="38" t="s">
        <v>197</v>
      </c>
      <c r="I21" s="38" t="s">
        <v>197</v>
      </c>
      <c r="J21" s="38" t="s">
        <v>197</v>
      </c>
    </row>
    <row r="22" spans="1:10" ht="30.75" customHeight="1">
      <c r="A22" s="315" t="s">
        <v>75</v>
      </c>
      <c r="B22" s="303">
        <v>2113</v>
      </c>
      <c r="C22" s="38"/>
      <c r="D22" s="38"/>
      <c r="E22" s="38">
        <f t="shared" si="2"/>
        <v>0</v>
      </c>
      <c r="F22" s="38">
        <f t="shared" si="0"/>
        <v>0</v>
      </c>
      <c r="G22" s="38"/>
      <c r="H22" s="38"/>
      <c r="I22" s="38"/>
      <c r="J22" s="38"/>
    </row>
    <row r="23" spans="1:10" ht="36.75" customHeight="1">
      <c r="A23" s="315" t="s">
        <v>83</v>
      </c>
      <c r="B23" s="303">
        <v>2114</v>
      </c>
      <c r="C23" s="38"/>
      <c r="D23" s="38"/>
      <c r="E23" s="38">
        <f t="shared" si="2"/>
        <v>0</v>
      </c>
      <c r="F23" s="38">
        <f t="shared" si="0"/>
        <v>0</v>
      </c>
      <c r="G23" s="38"/>
      <c r="H23" s="38"/>
      <c r="I23" s="38"/>
      <c r="J23" s="38"/>
    </row>
    <row r="24" spans="1:10" ht="36.75" customHeight="1">
      <c r="A24" s="315" t="s">
        <v>294</v>
      </c>
      <c r="B24" s="303">
        <v>2115</v>
      </c>
      <c r="C24" s="38"/>
      <c r="D24" s="38"/>
      <c r="E24" s="38">
        <f t="shared" si="2"/>
        <v>0</v>
      </c>
      <c r="F24" s="38">
        <f t="shared" si="0"/>
        <v>0</v>
      </c>
      <c r="G24" s="38"/>
      <c r="H24" s="38"/>
      <c r="I24" s="38"/>
      <c r="J24" s="38"/>
    </row>
    <row r="25" spans="1:10" ht="35.25" customHeight="1">
      <c r="A25" s="315" t="s">
        <v>368</v>
      </c>
      <c r="B25" s="303">
        <v>2116</v>
      </c>
      <c r="C25" s="38">
        <v>548</v>
      </c>
      <c r="D25" s="38">
        <v>688</v>
      </c>
      <c r="E25" s="38">
        <v>582</v>
      </c>
      <c r="F25" s="38">
        <f t="shared" si="0"/>
        <v>600</v>
      </c>
      <c r="G25" s="38">
        <f>'I. Фін результат'!G91*0.015</f>
        <v>150</v>
      </c>
      <c r="H25" s="38">
        <f>'I. Фін результат'!H91*0.015</f>
        <v>150</v>
      </c>
      <c r="I25" s="38">
        <f>'I. Фін результат'!I91*0.015</f>
        <v>150</v>
      </c>
      <c r="J25" s="38">
        <f>'I. Фін результат'!J91*0.015</f>
        <v>150</v>
      </c>
    </row>
    <row r="26" spans="1:10" ht="35.25" customHeight="1">
      <c r="A26" s="315" t="s">
        <v>282</v>
      </c>
      <c r="B26" s="303">
        <v>2117</v>
      </c>
      <c r="C26" s="38"/>
      <c r="D26" s="38"/>
      <c r="E26" s="38">
        <f t="shared" si="2"/>
        <v>0</v>
      </c>
      <c r="F26" s="38">
        <f t="shared" si="0"/>
        <v>0</v>
      </c>
      <c r="G26" s="38"/>
      <c r="H26" s="38"/>
      <c r="I26" s="38"/>
      <c r="J26" s="38"/>
    </row>
    <row r="27" spans="1:10" ht="54" customHeight="1">
      <c r="A27" s="43" t="s">
        <v>369</v>
      </c>
      <c r="B27" s="52">
        <v>2120</v>
      </c>
      <c r="C27" s="40">
        <f>SUM(C28:C35)</f>
        <v>6955</v>
      </c>
      <c r="D27" s="40">
        <f>SUM(D28:D35)</f>
        <v>10601</v>
      </c>
      <c r="E27" s="40">
        <f>SUM(E28:E35)</f>
        <v>9339</v>
      </c>
      <c r="F27" s="40">
        <f>SUM(G27:J27)</f>
        <v>8916</v>
      </c>
      <c r="G27" s="40">
        <f>SUM(G28:G35)</f>
        <v>2224</v>
      </c>
      <c r="H27" s="40">
        <f t="shared" ref="H27:J27" si="3">SUM(H28:H35)</f>
        <v>2227</v>
      </c>
      <c r="I27" s="40">
        <f t="shared" si="3"/>
        <v>2231</v>
      </c>
      <c r="J27" s="40">
        <f t="shared" si="3"/>
        <v>2234</v>
      </c>
    </row>
    <row r="28" spans="1:10" ht="37.5" customHeight="1">
      <c r="A28" s="44" t="s">
        <v>257</v>
      </c>
      <c r="B28" s="303">
        <v>2121</v>
      </c>
      <c r="C28" s="38"/>
      <c r="D28" s="38">
        <v>1510</v>
      </c>
      <c r="E28" s="38">
        <f t="shared" si="2"/>
        <v>1510</v>
      </c>
      <c r="F28" s="38">
        <f t="shared" si="0"/>
        <v>1055</v>
      </c>
      <c r="G28" s="38">
        <f>-'I. Фін результат'!G71</f>
        <v>260</v>
      </c>
      <c r="H28" s="38">
        <f>-'I. Фін результат'!H71</f>
        <v>262</v>
      </c>
      <c r="I28" s="38">
        <f>-'I. Фін результат'!I71</f>
        <v>265</v>
      </c>
      <c r="J28" s="38">
        <f>-'I. Фін результат'!J71</f>
        <v>268</v>
      </c>
    </row>
    <row r="29" spans="1:10" ht="37.5" customHeight="1">
      <c r="A29" s="315" t="s">
        <v>74</v>
      </c>
      <c r="B29" s="303">
        <v>2122</v>
      </c>
      <c r="C29" s="38">
        <v>6574</v>
      </c>
      <c r="D29" s="38">
        <v>8252</v>
      </c>
      <c r="E29" s="38">
        <v>6990</v>
      </c>
      <c r="F29" s="38">
        <f t="shared" si="0"/>
        <v>7216</v>
      </c>
      <c r="G29" s="38">
        <f>'I. Фін результат'!G91*0.18</f>
        <v>1804</v>
      </c>
      <c r="H29" s="38">
        <f>'I. Фін результат'!H91*0.18</f>
        <v>1804</v>
      </c>
      <c r="I29" s="38">
        <f>'I. Фін результат'!I91*0.18</f>
        <v>1804</v>
      </c>
      <c r="J29" s="38">
        <f>'I. Фін результат'!J91*0.18</f>
        <v>1804</v>
      </c>
    </row>
    <row r="30" spans="1:10" ht="37.5" customHeight="1">
      <c r="A30" s="315" t="s">
        <v>75</v>
      </c>
      <c r="B30" s="303">
        <v>2123</v>
      </c>
      <c r="C30" s="38"/>
      <c r="D30" s="38"/>
      <c r="E30" s="38">
        <f t="shared" si="2"/>
        <v>0</v>
      </c>
      <c r="F30" s="38">
        <f t="shared" si="0"/>
        <v>0</v>
      </c>
      <c r="G30" s="38"/>
      <c r="H30" s="38"/>
      <c r="I30" s="38"/>
      <c r="J30" s="38"/>
    </row>
    <row r="31" spans="1:10" ht="37.5" customHeight="1">
      <c r="A31" s="315" t="s">
        <v>287</v>
      </c>
      <c r="B31" s="303">
        <v>2124</v>
      </c>
      <c r="C31" s="38">
        <v>151</v>
      </c>
      <c r="D31" s="38">
        <v>152</v>
      </c>
      <c r="E31" s="38">
        <f t="shared" si="2"/>
        <v>152</v>
      </c>
      <c r="F31" s="38">
        <f t="shared" si="0"/>
        <v>164</v>
      </c>
      <c r="G31" s="38">
        <f>-'Розшифровка до Формування'!G9</f>
        <v>41</v>
      </c>
      <c r="H31" s="38">
        <f>-'Розшифровка до Формування'!H9</f>
        <v>41</v>
      </c>
      <c r="I31" s="38">
        <f>-'Розшифровка до Формування'!I9</f>
        <v>41</v>
      </c>
      <c r="J31" s="38">
        <f>-'Розшифровка до Формування'!J9</f>
        <v>41</v>
      </c>
    </row>
    <row r="32" spans="1:10" ht="37.5" customHeight="1">
      <c r="A32" s="315" t="s">
        <v>288</v>
      </c>
      <c r="B32" s="303">
        <v>2125</v>
      </c>
      <c r="C32" s="38"/>
      <c r="D32" s="38"/>
      <c r="E32" s="40">
        <f t="shared" si="2"/>
        <v>0</v>
      </c>
      <c r="F32" s="38">
        <f t="shared" si="0"/>
        <v>0</v>
      </c>
      <c r="G32" s="38"/>
      <c r="H32" s="38"/>
      <c r="I32" s="38"/>
      <c r="J32" s="38"/>
    </row>
    <row r="33" spans="1:12" ht="66" customHeight="1">
      <c r="A33" s="315" t="s">
        <v>372</v>
      </c>
      <c r="B33" s="303">
        <v>2126</v>
      </c>
      <c r="C33" s="38">
        <v>230</v>
      </c>
      <c r="D33" s="38">
        <v>687</v>
      </c>
      <c r="E33" s="38">
        <f t="shared" si="2"/>
        <v>687</v>
      </c>
      <c r="F33" s="38">
        <f t="shared" si="0"/>
        <v>481</v>
      </c>
      <c r="G33" s="38">
        <f>-G9</f>
        <v>119</v>
      </c>
      <c r="H33" s="38">
        <f t="shared" ref="H33:J33" si="4">-H9</f>
        <v>120</v>
      </c>
      <c r="I33" s="38">
        <f t="shared" si="4"/>
        <v>121</v>
      </c>
      <c r="J33" s="38">
        <f t="shared" si="4"/>
        <v>121</v>
      </c>
    </row>
    <row r="34" spans="1:12" ht="29.25" customHeight="1">
      <c r="A34" s="315" t="s">
        <v>294</v>
      </c>
      <c r="B34" s="303">
        <v>2127</v>
      </c>
      <c r="C34" s="38"/>
      <c r="D34" s="38"/>
      <c r="E34" s="40">
        <f t="shared" si="2"/>
        <v>0</v>
      </c>
      <c r="F34" s="38">
        <f t="shared" si="0"/>
        <v>0</v>
      </c>
      <c r="G34" s="38"/>
      <c r="H34" s="38"/>
      <c r="I34" s="38"/>
      <c r="J34" s="38"/>
    </row>
    <row r="35" spans="1:12" ht="29.25" customHeight="1">
      <c r="A35" s="315" t="s">
        <v>282</v>
      </c>
      <c r="B35" s="303">
        <v>2128</v>
      </c>
      <c r="C35" s="38"/>
      <c r="D35" s="38"/>
      <c r="E35" s="40">
        <f t="shared" si="2"/>
        <v>0</v>
      </c>
      <c r="F35" s="38">
        <f t="shared" si="0"/>
        <v>0</v>
      </c>
      <c r="G35" s="38"/>
      <c r="H35" s="38"/>
      <c r="I35" s="38"/>
      <c r="J35" s="38"/>
    </row>
    <row r="36" spans="1:12" s="353" customFormat="1" ht="51" customHeight="1">
      <c r="A36" s="43" t="s">
        <v>370</v>
      </c>
      <c r="B36" s="62">
        <v>2130</v>
      </c>
      <c r="C36" s="40">
        <f>SUM(C37:C39)</f>
        <v>12608</v>
      </c>
      <c r="D36" s="40">
        <f>SUM(D37:D39)</f>
        <v>14980</v>
      </c>
      <c r="E36" s="40">
        <f>SUM(E37:E39)</f>
        <v>13439</v>
      </c>
      <c r="F36" s="40">
        <f t="shared" si="0"/>
        <v>14132</v>
      </c>
      <c r="G36" s="40">
        <f>SUM(G37:G39)</f>
        <v>3533</v>
      </c>
      <c r="H36" s="40">
        <f>SUM(H37:H39)</f>
        <v>3533</v>
      </c>
      <c r="I36" s="40">
        <f>SUM(I37:I39)</f>
        <v>3533</v>
      </c>
      <c r="J36" s="40">
        <f>SUM(J37:J39)</f>
        <v>3533</v>
      </c>
      <c r="K36" s="68"/>
    </row>
    <row r="37" spans="1:12" ht="36.75" customHeight="1">
      <c r="A37" s="315" t="s">
        <v>283</v>
      </c>
      <c r="B37" s="303">
        <v>2131</v>
      </c>
      <c r="C37" s="38"/>
      <c r="D37" s="38"/>
      <c r="E37" s="40">
        <f t="shared" si="2"/>
        <v>0</v>
      </c>
      <c r="F37" s="38">
        <f t="shared" si="0"/>
        <v>0</v>
      </c>
      <c r="G37" s="38"/>
      <c r="H37" s="38"/>
      <c r="I37" s="38"/>
      <c r="J37" s="38"/>
    </row>
    <row r="38" spans="1:12" ht="36.75" customHeight="1">
      <c r="A38" s="315" t="s">
        <v>284</v>
      </c>
      <c r="B38" s="303">
        <v>2132</v>
      </c>
      <c r="C38" s="38">
        <v>7685</v>
      </c>
      <c r="D38" s="38">
        <v>10084</v>
      </c>
      <c r="E38" s="38">
        <v>8543</v>
      </c>
      <c r="F38" s="38">
        <f t="shared" si="0"/>
        <v>8820</v>
      </c>
      <c r="G38" s="38">
        <f>'I. Фін результат'!G92</f>
        <v>2205</v>
      </c>
      <c r="H38" s="38">
        <f>'I. Фін результат'!H92</f>
        <v>2205</v>
      </c>
      <c r="I38" s="38">
        <f>'I. Фін результат'!I92</f>
        <v>2205</v>
      </c>
      <c r="J38" s="38">
        <f>'I. Фін результат'!J92</f>
        <v>2205</v>
      </c>
    </row>
    <row r="39" spans="1:12" ht="36.75" customHeight="1">
      <c r="A39" s="315" t="s">
        <v>432</v>
      </c>
      <c r="B39" s="303">
        <v>2133</v>
      </c>
      <c r="C39" s="38">
        <v>4923</v>
      </c>
      <c r="D39" s="38">
        <v>4896</v>
      </c>
      <c r="E39" s="38">
        <f t="shared" si="2"/>
        <v>4896</v>
      </c>
      <c r="F39" s="38">
        <f t="shared" si="0"/>
        <v>5312</v>
      </c>
      <c r="G39" s="38">
        <f>-'Розшифровка до Формування'!G8</f>
        <v>1328</v>
      </c>
      <c r="H39" s="38">
        <f>-'Розшифровка до Формування'!H8</f>
        <v>1328</v>
      </c>
      <c r="I39" s="38">
        <f>-'Розшифровка до Формування'!I8</f>
        <v>1328</v>
      </c>
      <c r="J39" s="38">
        <f>-'Розшифровка до Формування'!J8</f>
        <v>1328</v>
      </c>
    </row>
    <row r="40" spans="1:12" s="352" customFormat="1" ht="39" customHeight="1">
      <c r="A40" s="43" t="s">
        <v>285</v>
      </c>
      <c r="B40" s="62">
        <v>2140</v>
      </c>
      <c r="C40" s="40">
        <f>SUM(C41,C42)</f>
        <v>0</v>
      </c>
      <c r="D40" s="40">
        <f>SUM(D41,D42)</f>
        <v>0</v>
      </c>
      <c r="E40" s="40">
        <f t="shared" si="2"/>
        <v>0</v>
      </c>
      <c r="F40" s="40">
        <f>SUM(G40:J40)</f>
        <v>0</v>
      </c>
      <c r="G40" s="40">
        <f>SUM(G41,G42)</f>
        <v>0</v>
      </c>
      <c r="H40" s="40">
        <f>SUM(H41,H42)</f>
        <v>0</v>
      </c>
      <c r="I40" s="40">
        <f>SUM(I41,I42)</f>
        <v>0</v>
      </c>
      <c r="J40" s="40">
        <f>SUM(J41,J42)</f>
        <v>0</v>
      </c>
    </row>
    <row r="41" spans="1:12" ht="51" customHeight="1">
      <c r="A41" s="44" t="s">
        <v>248</v>
      </c>
      <c r="B41" s="45">
        <v>2141</v>
      </c>
      <c r="C41" s="38"/>
      <c r="D41" s="38"/>
      <c r="E41" s="40">
        <f t="shared" si="2"/>
        <v>0</v>
      </c>
      <c r="F41" s="38">
        <f t="shared" si="0"/>
        <v>0</v>
      </c>
      <c r="G41" s="38"/>
      <c r="H41" s="38"/>
      <c r="I41" s="38"/>
      <c r="J41" s="38"/>
    </row>
    <row r="42" spans="1:12" ht="39" customHeight="1">
      <c r="A42" s="44" t="s">
        <v>286</v>
      </c>
      <c r="B42" s="45">
        <v>2142</v>
      </c>
      <c r="C42" s="38"/>
      <c r="D42" s="38"/>
      <c r="E42" s="40">
        <f t="shared" si="2"/>
        <v>0</v>
      </c>
      <c r="F42" s="38">
        <f t="shared" si="0"/>
        <v>0</v>
      </c>
      <c r="G42" s="38"/>
      <c r="H42" s="38"/>
      <c r="I42" s="38"/>
      <c r="J42" s="38"/>
    </row>
    <row r="43" spans="1:12" s="352" customFormat="1" ht="39.75" customHeight="1">
      <c r="A43" s="43" t="s">
        <v>335</v>
      </c>
      <c r="B43" s="62">
        <v>2200</v>
      </c>
      <c r="C43" s="40">
        <f>SUM(C19,C27,C36,C40)</f>
        <v>32629</v>
      </c>
      <c r="D43" s="40">
        <f>SUM(D19,D27,D36,D40)</f>
        <v>38309</v>
      </c>
      <c r="E43" s="40">
        <f>SUM(E19,E27,E36,E40)</f>
        <v>35400</v>
      </c>
      <c r="F43" s="40">
        <f>SUM(G43:J43)</f>
        <v>38048</v>
      </c>
      <c r="G43" s="40">
        <f>SUM(G19,G27,G36,G40)</f>
        <v>9507</v>
      </c>
      <c r="H43" s="40">
        <f>SUM(H19,H27,H36,H40)</f>
        <v>9510</v>
      </c>
      <c r="I43" s="40">
        <f>SUM(I19,I27,I36,I40)</f>
        <v>9514</v>
      </c>
      <c r="J43" s="40">
        <f>SUM(J19,J27,J36,J40)</f>
        <v>9517</v>
      </c>
      <c r="K43" s="68"/>
    </row>
    <row r="44" spans="1:12" s="352" customFormat="1" ht="60.75" customHeight="1">
      <c r="A44" s="63"/>
      <c r="B44" s="64"/>
      <c r="C44" s="65"/>
      <c r="D44" s="66"/>
      <c r="E44" s="66"/>
      <c r="F44" s="65"/>
      <c r="G44" s="66"/>
      <c r="H44" s="66"/>
      <c r="I44" s="66"/>
      <c r="J44" s="66"/>
    </row>
    <row r="45" spans="1:12" s="352" customFormat="1" ht="1.5" hidden="1" customHeight="1">
      <c r="A45" s="63"/>
      <c r="B45" s="64"/>
      <c r="C45" s="65"/>
      <c r="D45" s="66"/>
      <c r="E45" s="66"/>
      <c r="F45" s="65"/>
      <c r="G45" s="66"/>
      <c r="H45" s="66"/>
      <c r="I45" s="66"/>
      <c r="J45" s="66"/>
    </row>
    <row r="46" spans="1:12" s="252" customFormat="1" ht="40.5" customHeight="1">
      <c r="A46" s="317" t="s">
        <v>525</v>
      </c>
      <c r="B46" s="57"/>
      <c r="C46" s="521" t="s">
        <v>84</v>
      </c>
      <c r="D46" s="522"/>
      <c r="E46" s="522"/>
      <c r="F46" s="522"/>
      <c r="G46" s="251"/>
      <c r="H46" s="523" t="s">
        <v>702</v>
      </c>
      <c r="I46" s="523"/>
      <c r="J46" s="523"/>
    </row>
    <row r="47" spans="1:12" s="257" customFormat="1" ht="31.5" customHeight="1">
      <c r="A47" s="307" t="s">
        <v>365</v>
      </c>
      <c r="B47" s="255"/>
      <c r="C47" s="570" t="s">
        <v>69</v>
      </c>
      <c r="D47" s="570"/>
      <c r="E47" s="570"/>
      <c r="F47" s="570"/>
      <c r="G47" s="256"/>
      <c r="H47" s="563" t="s">
        <v>82</v>
      </c>
      <c r="I47" s="563"/>
      <c r="J47" s="563"/>
    </row>
    <row r="48" spans="1:12" s="64" customFormat="1">
      <c r="A48" s="67"/>
      <c r="F48" s="68"/>
      <c r="G48" s="68"/>
      <c r="H48" s="68"/>
      <c r="I48" s="68"/>
      <c r="J48" s="68"/>
      <c r="K48" s="68"/>
      <c r="L48" s="68"/>
    </row>
    <row r="49" spans="1:12" s="64" customFormat="1">
      <c r="A49" s="67"/>
      <c r="F49" s="68"/>
      <c r="G49" s="68"/>
      <c r="H49" s="68"/>
      <c r="I49" s="68"/>
      <c r="J49" s="68"/>
      <c r="K49" s="68"/>
      <c r="L49" s="68"/>
    </row>
    <row r="50" spans="1:12" s="64" customFormat="1">
      <c r="A50" s="67"/>
      <c r="F50" s="68"/>
      <c r="G50" s="68"/>
      <c r="H50" s="68"/>
      <c r="I50" s="68"/>
      <c r="J50" s="68"/>
      <c r="K50" s="68"/>
      <c r="L50" s="68"/>
    </row>
    <row r="51" spans="1:12" s="64" customFormat="1">
      <c r="A51" s="67"/>
      <c r="F51" s="68"/>
      <c r="G51" s="68"/>
      <c r="H51" s="68"/>
      <c r="I51" s="68"/>
      <c r="J51" s="68"/>
      <c r="K51" s="68"/>
      <c r="L51" s="68"/>
    </row>
    <row r="52" spans="1:12" s="64" customFormat="1">
      <c r="A52" s="67"/>
      <c r="C52" s="424"/>
      <c r="D52" s="424"/>
      <c r="E52" s="424"/>
      <c r="F52" s="424"/>
      <c r="G52" s="424"/>
      <c r="H52" s="424"/>
      <c r="I52" s="424"/>
      <c r="J52" s="424"/>
      <c r="K52" s="68"/>
      <c r="L52" s="68"/>
    </row>
    <row r="53" spans="1:12" s="64" customFormat="1">
      <c r="A53" s="67"/>
      <c r="F53" s="68"/>
      <c r="G53" s="68"/>
      <c r="H53" s="68"/>
      <c r="I53" s="68"/>
      <c r="J53" s="68"/>
      <c r="K53" s="68"/>
      <c r="L53" s="68"/>
    </row>
    <row r="54" spans="1:12" s="64" customFormat="1">
      <c r="A54" s="67"/>
      <c r="F54" s="68"/>
      <c r="G54" s="68"/>
      <c r="H54" s="68"/>
      <c r="I54" s="68"/>
      <c r="J54" s="68"/>
      <c r="K54" s="68"/>
      <c r="L54" s="68"/>
    </row>
    <row r="55" spans="1:12" s="64" customFormat="1">
      <c r="A55" s="67"/>
      <c r="F55" s="68"/>
      <c r="G55" s="68"/>
      <c r="H55" s="68"/>
      <c r="I55" s="68"/>
      <c r="J55" s="68"/>
      <c r="K55" s="68"/>
      <c r="L55" s="68"/>
    </row>
    <row r="56" spans="1:12" s="64" customFormat="1">
      <c r="A56" s="67"/>
      <c r="F56" s="68"/>
      <c r="G56" s="68"/>
      <c r="H56" s="68"/>
      <c r="I56" s="68"/>
      <c r="J56" s="68"/>
      <c r="K56" s="68"/>
      <c r="L56" s="68"/>
    </row>
    <row r="57" spans="1:12" s="64" customFormat="1">
      <c r="A57" s="67"/>
      <c r="F57" s="68"/>
      <c r="G57" s="68"/>
      <c r="H57" s="68"/>
      <c r="I57" s="68"/>
      <c r="J57" s="68"/>
      <c r="K57" s="68"/>
      <c r="L57" s="68"/>
    </row>
    <row r="58" spans="1:12" s="64" customFormat="1">
      <c r="A58" s="67"/>
      <c r="F58" s="68"/>
      <c r="G58" s="68"/>
      <c r="H58" s="68"/>
      <c r="I58" s="68"/>
      <c r="J58" s="68"/>
      <c r="K58" s="68"/>
      <c r="L58" s="68"/>
    </row>
    <row r="59" spans="1:12" s="64" customFormat="1">
      <c r="A59" s="67"/>
      <c r="F59" s="68"/>
      <c r="G59" s="68"/>
      <c r="H59" s="68"/>
      <c r="I59" s="68"/>
      <c r="J59" s="68"/>
      <c r="K59" s="68"/>
      <c r="L59" s="68"/>
    </row>
    <row r="60" spans="1:12" s="64" customFormat="1">
      <c r="A60" s="67"/>
      <c r="F60" s="68"/>
      <c r="G60" s="68"/>
      <c r="H60" s="68"/>
      <c r="I60" s="68"/>
      <c r="J60" s="68"/>
      <c r="K60" s="68"/>
      <c r="L60" s="68"/>
    </row>
    <row r="61" spans="1:12" s="64" customFormat="1">
      <c r="A61" s="67"/>
      <c r="F61" s="68"/>
      <c r="G61" s="68"/>
      <c r="H61" s="68"/>
      <c r="I61" s="68"/>
      <c r="J61" s="68"/>
      <c r="K61" s="68"/>
      <c r="L61" s="68"/>
    </row>
    <row r="62" spans="1:12" s="64" customFormat="1">
      <c r="A62" s="67"/>
      <c r="F62" s="68"/>
      <c r="G62" s="68"/>
      <c r="H62" s="68"/>
      <c r="I62" s="68"/>
      <c r="J62" s="68"/>
      <c r="K62" s="68"/>
      <c r="L62" s="68"/>
    </row>
    <row r="63" spans="1:12" s="64" customFormat="1">
      <c r="A63" s="67"/>
      <c r="F63" s="68"/>
      <c r="G63" s="68"/>
      <c r="H63" s="68"/>
      <c r="I63" s="68"/>
      <c r="J63" s="68"/>
      <c r="K63" s="68"/>
      <c r="L63" s="68"/>
    </row>
    <row r="64" spans="1:12" s="64" customFormat="1">
      <c r="A64" s="67"/>
      <c r="F64" s="68"/>
      <c r="G64" s="68"/>
      <c r="H64" s="68"/>
      <c r="I64" s="68"/>
      <c r="J64" s="68"/>
      <c r="K64" s="68"/>
      <c r="L64" s="68"/>
    </row>
    <row r="65" spans="1:12" s="64" customFormat="1">
      <c r="A65" s="67"/>
      <c r="F65" s="68"/>
      <c r="G65" s="68"/>
      <c r="H65" s="68"/>
      <c r="I65" s="68"/>
      <c r="J65" s="68"/>
      <c r="K65" s="68"/>
      <c r="L65" s="68"/>
    </row>
    <row r="66" spans="1:12" s="64" customFormat="1">
      <c r="A66" s="67"/>
      <c r="F66" s="68"/>
      <c r="G66" s="68"/>
      <c r="H66" s="68"/>
      <c r="I66" s="68"/>
      <c r="J66" s="68"/>
      <c r="K66" s="68"/>
      <c r="L66" s="68"/>
    </row>
    <row r="67" spans="1:12" s="64" customFormat="1">
      <c r="A67" s="67"/>
      <c r="F67" s="68"/>
      <c r="G67" s="68"/>
      <c r="H67" s="68"/>
      <c r="I67" s="68"/>
      <c r="J67" s="68"/>
      <c r="K67" s="68"/>
      <c r="L67" s="68"/>
    </row>
    <row r="68" spans="1:12" s="64" customFormat="1">
      <c r="A68" s="67"/>
      <c r="F68" s="68"/>
      <c r="G68" s="68"/>
      <c r="H68" s="68"/>
      <c r="I68" s="68"/>
      <c r="J68" s="68"/>
      <c r="K68" s="68"/>
      <c r="L68" s="68"/>
    </row>
    <row r="69" spans="1:12" s="64" customFormat="1">
      <c r="A69" s="67"/>
      <c r="F69" s="68"/>
      <c r="G69" s="68"/>
      <c r="H69" s="68"/>
      <c r="I69" s="68"/>
      <c r="J69" s="68"/>
      <c r="K69" s="68"/>
      <c r="L69" s="68"/>
    </row>
    <row r="70" spans="1:12" s="64" customFormat="1">
      <c r="A70" s="67"/>
      <c r="F70" s="68"/>
      <c r="G70" s="68"/>
      <c r="H70" s="68"/>
      <c r="I70" s="68"/>
      <c r="J70" s="68"/>
      <c r="K70" s="68"/>
      <c r="L70" s="68"/>
    </row>
    <row r="71" spans="1:12" s="64" customFormat="1">
      <c r="A71" s="67"/>
      <c r="F71" s="68"/>
      <c r="G71" s="68"/>
      <c r="H71" s="68"/>
      <c r="I71" s="68"/>
      <c r="J71" s="68"/>
      <c r="K71" s="68"/>
      <c r="L71" s="68"/>
    </row>
    <row r="72" spans="1:12" s="64" customFormat="1">
      <c r="A72" s="67"/>
      <c r="F72" s="68"/>
      <c r="G72" s="68"/>
      <c r="H72" s="68"/>
      <c r="I72" s="68"/>
      <c r="J72" s="68"/>
      <c r="K72" s="68"/>
      <c r="L72" s="68"/>
    </row>
    <row r="73" spans="1:12" s="64" customFormat="1">
      <c r="A73" s="67"/>
      <c r="F73" s="68"/>
      <c r="G73" s="68"/>
      <c r="H73" s="68"/>
      <c r="I73" s="68"/>
      <c r="J73" s="68"/>
      <c r="K73" s="68"/>
      <c r="L73" s="68"/>
    </row>
    <row r="74" spans="1:12" s="64" customFormat="1">
      <c r="A74" s="67"/>
      <c r="F74" s="68"/>
      <c r="G74" s="68"/>
      <c r="H74" s="68"/>
      <c r="I74" s="68"/>
      <c r="J74" s="68"/>
      <c r="K74" s="68"/>
      <c r="L74" s="68"/>
    </row>
    <row r="75" spans="1:12" s="64" customFormat="1">
      <c r="A75" s="67"/>
      <c r="F75" s="68"/>
      <c r="G75" s="68"/>
      <c r="H75" s="68"/>
      <c r="I75" s="68"/>
      <c r="J75" s="68"/>
      <c r="K75" s="68"/>
      <c r="L75" s="68"/>
    </row>
    <row r="76" spans="1:12" s="64" customFormat="1">
      <c r="A76" s="67"/>
      <c r="F76" s="68"/>
      <c r="G76" s="68"/>
      <c r="H76" s="68"/>
      <c r="I76" s="68"/>
      <c r="J76" s="68"/>
      <c r="K76" s="68"/>
      <c r="L76" s="68"/>
    </row>
    <row r="77" spans="1:12" s="64" customFormat="1">
      <c r="A77" s="67"/>
      <c r="F77" s="68"/>
      <c r="G77" s="68"/>
      <c r="H77" s="68"/>
      <c r="I77" s="68"/>
      <c r="J77" s="68"/>
      <c r="K77" s="68"/>
      <c r="L77" s="68"/>
    </row>
    <row r="78" spans="1:12" s="64" customFormat="1">
      <c r="A78" s="67"/>
      <c r="F78" s="68"/>
      <c r="G78" s="68"/>
      <c r="H78" s="68"/>
      <c r="I78" s="68"/>
      <c r="J78" s="68"/>
      <c r="K78" s="68"/>
      <c r="L78" s="68"/>
    </row>
    <row r="79" spans="1:12" s="64" customFormat="1">
      <c r="A79" s="67"/>
      <c r="F79" s="68"/>
      <c r="G79" s="68"/>
      <c r="H79" s="68"/>
      <c r="I79" s="68"/>
      <c r="J79" s="68"/>
      <c r="K79" s="68"/>
      <c r="L79" s="68"/>
    </row>
    <row r="80" spans="1:12" s="64" customFormat="1">
      <c r="A80" s="67"/>
      <c r="F80" s="68"/>
      <c r="G80" s="68"/>
      <c r="H80" s="68"/>
      <c r="I80" s="68"/>
      <c r="J80" s="68"/>
      <c r="K80" s="68"/>
      <c r="L80" s="68"/>
    </row>
    <row r="81" spans="1:12" s="64" customFormat="1">
      <c r="A81" s="67"/>
      <c r="F81" s="68"/>
      <c r="G81" s="68"/>
      <c r="H81" s="68"/>
      <c r="I81" s="68"/>
      <c r="J81" s="68"/>
      <c r="K81" s="68"/>
      <c r="L81" s="68"/>
    </row>
    <row r="82" spans="1:12" s="64" customFormat="1">
      <c r="A82" s="67"/>
      <c r="F82" s="68"/>
      <c r="G82" s="68"/>
      <c r="H82" s="68"/>
      <c r="I82" s="68"/>
      <c r="J82" s="68"/>
      <c r="K82" s="68"/>
      <c r="L82" s="68"/>
    </row>
    <row r="83" spans="1:12" s="64" customFormat="1">
      <c r="A83" s="67"/>
      <c r="F83" s="68"/>
      <c r="G83" s="68"/>
      <c r="H83" s="68"/>
      <c r="I83" s="68"/>
      <c r="J83" s="68"/>
      <c r="K83" s="68"/>
      <c r="L83" s="68"/>
    </row>
    <row r="84" spans="1:12" s="64" customFormat="1">
      <c r="A84" s="67"/>
      <c r="F84" s="68"/>
      <c r="G84" s="68"/>
      <c r="H84" s="68"/>
      <c r="I84" s="68"/>
      <c r="J84" s="68"/>
      <c r="K84" s="68"/>
      <c r="L84" s="68"/>
    </row>
    <row r="85" spans="1:12" s="64" customFormat="1">
      <c r="A85" s="67"/>
      <c r="F85" s="68"/>
      <c r="G85" s="68"/>
      <c r="H85" s="68"/>
      <c r="I85" s="68"/>
      <c r="J85" s="68"/>
      <c r="K85" s="68"/>
      <c r="L85" s="68"/>
    </row>
    <row r="86" spans="1:12" s="64" customFormat="1">
      <c r="A86" s="67"/>
      <c r="F86" s="68"/>
      <c r="G86" s="68"/>
      <c r="H86" s="68"/>
      <c r="I86" s="68"/>
      <c r="J86" s="68"/>
      <c r="K86" s="68"/>
      <c r="L86" s="68"/>
    </row>
    <row r="87" spans="1:12" s="64" customFormat="1">
      <c r="A87" s="67"/>
      <c r="F87" s="68"/>
      <c r="G87" s="68"/>
      <c r="H87" s="68"/>
      <c r="I87" s="68"/>
      <c r="J87" s="68"/>
      <c r="K87" s="68"/>
      <c r="L87" s="68"/>
    </row>
    <row r="88" spans="1:12" s="64" customFormat="1">
      <c r="A88" s="67"/>
      <c r="F88" s="68"/>
      <c r="G88" s="68"/>
      <c r="H88" s="68"/>
      <c r="I88" s="68"/>
      <c r="J88" s="68"/>
      <c r="K88" s="68"/>
      <c r="L88" s="68"/>
    </row>
    <row r="89" spans="1:12" s="64" customFormat="1">
      <c r="A89" s="67"/>
      <c r="F89" s="68"/>
      <c r="G89" s="68"/>
      <c r="H89" s="68"/>
      <c r="I89" s="68"/>
      <c r="J89" s="68"/>
      <c r="K89" s="68"/>
      <c r="L89" s="68"/>
    </row>
    <row r="90" spans="1:12" s="64" customFormat="1">
      <c r="A90" s="67"/>
      <c r="F90" s="68"/>
      <c r="G90" s="68"/>
      <c r="H90" s="68"/>
      <c r="I90" s="68"/>
      <c r="J90" s="68"/>
      <c r="K90" s="68"/>
      <c r="L90" s="68"/>
    </row>
    <row r="91" spans="1:12" s="64" customFormat="1">
      <c r="A91" s="67"/>
      <c r="F91" s="68"/>
      <c r="G91" s="68"/>
      <c r="H91" s="68"/>
      <c r="I91" s="68"/>
      <c r="J91" s="68"/>
      <c r="K91" s="68"/>
      <c r="L91" s="68"/>
    </row>
    <row r="92" spans="1:12" s="64" customFormat="1">
      <c r="A92" s="67"/>
      <c r="F92" s="68"/>
      <c r="G92" s="68"/>
      <c r="H92" s="68"/>
      <c r="I92" s="68"/>
      <c r="J92" s="68"/>
      <c r="K92" s="68"/>
      <c r="L92" s="68"/>
    </row>
    <row r="93" spans="1:12" s="64" customFormat="1">
      <c r="A93" s="67"/>
      <c r="F93" s="68"/>
      <c r="G93" s="68"/>
      <c r="H93" s="68"/>
      <c r="I93" s="68"/>
      <c r="J93" s="68"/>
      <c r="K93" s="68"/>
      <c r="L93" s="68"/>
    </row>
    <row r="94" spans="1:12" s="64" customFormat="1">
      <c r="A94" s="67"/>
      <c r="F94" s="68"/>
      <c r="G94" s="68"/>
      <c r="H94" s="68"/>
      <c r="I94" s="68"/>
      <c r="J94" s="68"/>
      <c r="K94" s="68"/>
      <c r="L94" s="68"/>
    </row>
    <row r="95" spans="1:12" s="64" customFormat="1">
      <c r="A95" s="67"/>
      <c r="F95" s="68"/>
      <c r="G95" s="68"/>
      <c r="H95" s="68"/>
      <c r="I95" s="68"/>
      <c r="J95" s="68"/>
      <c r="K95" s="68"/>
      <c r="L95" s="68"/>
    </row>
    <row r="96" spans="1:12" s="64" customFormat="1">
      <c r="A96" s="67"/>
      <c r="F96" s="68"/>
      <c r="G96" s="68"/>
      <c r="H96" s="68"/>
      <c r="I96" s="68"/>
      <c r="J96" s="68"/>
      <c r="K96" s="68"/>
      <c r="L96" s="68"/>
    </row>
    <row r="97" spans="1:12" s="64" customFormat="1">
      <c r="A97" s="67"/>
      <c r="F97" s="68"/>
      <c r="G97" s="68"/>
      <c r="H97" s="68"/>
      <c r="I97" s="68"/>
      <c r="J97" s="68"/>
      <c r="K97" s="68"/>
      <c r="L97" s="68"/>
    </row>
    <row r="98" spans="1:12" s="64" customFormat="1">
      <c r="A98" s="67"/>
      <c r="F98" s="68"/>
      <c r="G98" s="68"/>
      <c r="H98" s="68"/>
      <c r="I98" s="68"/>
      <c r="J98" s="68"/>
      <c r="K98" s="68"/>
      <c r="L98" s="68"/>
    </row>
    <row r="99" spans="1:12" s="64" customFormat="1">
      <c r="A99" s="67"/>
      <c r="F99" s="68"/>
      <c r="G99" s="68"/>
      <c r="H99" s="68"/>
      <c r="I99" s="68"/>
      <c r="J99" s="68"/>
      <c r="K99" s="68"/>
      <c r="L99" s="68"/>
    </row>
    <row r="100" spans="1:12" s="64" customFormat="1">
      <c r="A100" s="67"/>
      <c r="F100" s="68"/>
      <c r="G100" s="68"/>
      <c r="H100" s="68"/>
      <c r="I100" s="68"/>
      <c r="J100" s="68"/>
      <c r="K100" s="68"/>
      <c r="L100" s="68"/>
    </row>
    <row r="101" spans="1:12" s="64" customFormat="1">
      <c r="A101" s="67"/>
      <c r="F101" s="68"/>
      <c r="G101" s="68"/>
      <c r="H101" s="68"/>
      <c r="I101" s="68"/>
      <c r="J101" s="68"/>
      <c r="K101" s="68"/>
      <c r="L101" s="68"/>
    </row>
    <row r="102" spans="1:12" s="64" customFormat="1">
      <c r="A102" s="67"/>
      <c r="F102" s="68"/>
      <c r="G102" s="68"/>
      <c r="H102" s="68"/>
      <c r="I102" s="68"/>
      <c r="J102" s="68"/>
      <c r="K102" s="68"/>
      <c r="L102" s="68"/>
    </row>
    <row r="103" spans="1:12" s="64" customFormat="1">
      <c r="A103" s="67"/>
      <c r="F103" s="68"/>
      <c r="G103" s="68"/>
      <c r="H103" s="68"/>
      <c r="I103" s="68"/>
      <c r="J103" s="68"/>
      <c r="K103" s="68"/>
      <c r="L103" s="68"/>
    </row>
    <row r="104" spans="1:12" s="64" customFormat="1">
      <c r="A104" s="67"/>
      <c r="F104" s="68"/>
      <c r="G104" s="68"/>
      <c r="H104" s="68"/>
      <c r="I104" s="68"/>
      <c r="J104" s="68"/>
      <c r="K104" s="68"/>
      <c r="L104" s="68"/>
    </row>
    <row r="105" spans="1:12" s="64" customFormat="1">
      <c r="A105" s="67"/>
      <c r="F105" s="68"/>
      <c r="G105" s="68"/>
      <c r="H105" s="68"/>
      <c r="I105" s="68"/>
      <c r="J105" s="68"/>
      <c r="K105" s="68"/>
      <c r="L105" s="68"/>
    </row>
    <row r="106" spans="1:12" s="64" customFormat="1">
      <c r="A106" s="67"/>
      <c r="F106" s="68"/>
      <c r="G106" s="68"/>
      <c r="H106" s="68"/>
      <c r="I106" s="68"/>
      <c r="J106" s="68"/>
      <c r="K106" s="68"/>
      <c r="L106" s="68"/>
    </row>
    <row r="107" spans="1:12" s="64" customFormat="1">
      <c r="A107" s="67"/>
      <c r="F107" s="68"/>
      <c r="G107" s="68"/>
      <c r="H107" s="68"/>
      <c r="I107" s="68"/>
      <c r="J107" s="68"/>
      <c r="K107" s="68"/>
      <c r="L107" s="68"/>
    </row>
    <row r="108" spans="1:12" s="64" customFormat="1">
      <c r="A108" s="67"/>
      <c r="F108" s="68"/>
      <c r="G108" s="68"/>
      <c r="H108" s="68"/>
      <c r="I108" s="68"/>
      <c r="J108" s="68"/>
      <c r="K108" s="68"/>
      <c r="L108" s="68"/>
    </row>
    <row r="109" spans="1:12" s="64" customFormat="1">
      <c r="A109" s="67"/>
      <c r="F109" s="68"/>
      <c r="G109" s="68"/>
      <c r="H109" s="68"/>
      <c r="I109" s="68"/>
      <c r="J109" s="68"/>
      <c r="K109" s="68"/>
      <c r="L109" s="68"/>
    </row>
    <row r="110" spans="1:12" s="64" customFormat="1">
      <c r="A110" s="67"/>
      <c r="F110" s="68"/>
      <c r="G110" s="68"/>
      <c r="H110" s="68"/>
      <c r="I110" s="68"/>
      <c r="J110" s="68"/>
      <c r="K110" s="68"/>
      <c r="L110" s="68"/>
    </row>
    <row r="111" spans="1:12" s="64" customFormat="1">
      <c r="A111" s="67"/>
      <c r="F111" s="68"/>
      <c r="G111" s="68"/>
      <c r="H111" s="68"/>
      <c r="I111" s="68"/>
      <c r="J111" s="68"/>
      <c r="K111" s="68"/>
      <c r="L111" s="68"/>
    </row>
    <row r="112" spans="1:12" s="64" customFormat="1">
      <c r="A112" s="67"/>
      <c r="F112" s="68"/>
      <c r="G112" s="68"/>
      <c r="H112" s="68"/>
      <c r="I112" s="68"/>
      <c r="J112" s="68"/>
      <c r="K112" s="68"/>
      <c r="L112" s="68"/>
    </row>
    <row r="113" spans="1:12" s="64" customFormat="1">
      <c r="A113" s="67"/>
      <c r="F113" s="68"/>
      <c r="G113" s="68"/>
      <c r="H113" s="68"/>
      <c r="I113" s="68"/>
      <c r="J113" s="68"/>
      <c r="K113" s="68"/>
      <c r="L113" s="68"/>
    </row>
    <row r="114" spans="1:12" s="64" customFormat="1">
      <c r="A114" s="67"/>
      <c r="F114" s="68"/>
      <c r="G114" s="68"/>
      <c r="H114" s="68"/>
      <c r="I114" s="68"/>
      <c r="J114" s="68"/>
      <c r="K114" s="68"/>
      <c r="L114" s="68"/>
    </row>
    <row r="115" spans="1:12" s="64" customFormat="1">
      <c r="A115" s="67"/>
      <c r="F115" s="68"/>
      <c r="G115" s="68"/>
      <c r="H115" s="68"/>
      <c r="I115" s="68"/>
      <c r="J115" s="68"/>
      <c r="K115" s="68"/>
      <c r="L115" s="68"/>
    </row>
    <row r="116" spans="1:12" s="64" customFormat="1">
      <c r="A116" s="67"/>
      <c r="F116" s="68"/>
      <c r="G116" s="68"/>
      <c r="H116" s="68"/>
      <c r="I116" s="68"/>
      <c r="J116" s="68"/>
      <c r="K116" s="68"/>
      <c r="L116" s="68"/>
    </row>
    <row r="117" spans="1:12" s="64" customFormat="1">
      <c r="A117" s="67"/>
      <c r="F117" s="68"/>
      <c r="G117" s="68"/>
      <c r="H117" s="68"/>
      <c r="I117" s="68"/>
      <c r="J117" s="68"/>
      <c r="K117" s="68"/>
      <c r="L117" s="68"/>
    </row>
    <row r="118" spans="1:12" s="64" customFormat="1">
      <c r="A118" s="67"/>
      <c r="F118" s="68"/>
      <c r="G118" s="68"/>
      <c r="H118" s="68"/>
      <c r="I118" s="68"/>
      <c r="J118" s="68"/>
      <c r="K118" s="68"/>
      <c r="L118" s="68"/>
    </row>
    <row r="119" spans="1:12" s="64" customFormat="1">
      <c r="A119" s="67"/>
      <c r="F119" s="68"/>
      <c r="G119" s="68"/>
      <c r="H119" s="68"/>
      <c r="I119" s="68"/>
      <c r="J119" s="68"/>
      <c r="K119" s="68"/>
      <c r="L119" s="68"/>
    </row>
    <row r="120" spans="1:12" s="64" customFormat="1">
      <c r="A120" s="67"/>
      <c r="F120" s="68"/>
      <c r="G120" s="68"/>
      <c r="H120" s="68"/>
      <c r="I120" s="68"/>
      <c r="J120" s="68"/>
      <c r="K120" s="68"/>
      <c r="L120" s="68"/>
    </row>
    <row r="121" spans="1:12" s="64" customFormat="1">
      <c r="A121" s="67"/>
      <c r="F121" s="68"/>
      <c r="G121" s="68"/>
      <c r="H121" s="68"/>
      <c r="I121" s="68"/>
      <c r="J121" s="68"/>
      <c r="K121" s="68"/>
      <c r="L121" s="68"/>
    </row>
    <row r="122" spans="1:12" s="64" customFormat="1">
      <c r="A122" s="67"/>
      <c r="F122" s="68"/>
      <c r="G122" s="68"/>
      <c r="H122" s="68"/>
      <c r="I122" s="68"/>
      <c r="J122" s="68"/>
      <c r="K122" s="68"/>
      <c r="L122" s="68"/>
    </row>
    <row r="123" spans="1:12" s="64" customFormat="1">
      <c r="A123" s="67"/>
      <c r="F123" s="68"/>
      <c r="G123" s="68"/>
      <c r="H123" s="68"/>
      <c r="I123" s="68"/>
      <c r="J123" s="68"/>
      <c r="K123" s="68"/>
      <c r="L123" s="68"/>
    </row>
    <row r="124" spans="1:12" s="64" customFormat="1">
      <c r="A124" s="67"/>
      <c r="F124" s="68"/>
      <c r="G124" s="68"/>
      <c r="H124" s="68"/>
      <c r="I124" s="68"/>
      <c r="J124" s="68"/>
      <c r="K124" s="68"/>
      <c r="L124" s="68"/>
    </row>
    <row r="125" spans="1:12" s="64" customFormat="1">
      <c r="A125" s="67"/>
      <c r="F125" s="68"/>
      <c r="G125" s="68"/>
      <c r="H125" s="68"/>
      <c r="I125" s="68"/>
      <c r="J125" s="68"/>
      <c r="K125" s="68"/>
      <c r="L125" s="68"/>
    </row>
    <row r="126" spans="1:12" s="64" customFormat="1">
      <c r="A126" s="67"/>
      <c r="F126" s="68"/>
      <c r="G126" s="68"/>
      <c r="H126" s="68"/>
      <c r="I126" s="68"/>
      <c r="J126" s="68"/>
      <c r="K126" s="68"/>
      <c r="L126" s="68"/>
    </row>
    <row r="127" spans="1:12" s="64" customFormat="1">
      <c r="A127" s="67"/>
      <c r="F127" s="68"/>
      <c r="G127" s="68"/>
      <c r="H127" s="68"/>
      <c r="I127" s="68"/>
      <c r="J127" s="68"/>
      <c r="K127" s="68"/>
      <c r="L127" s="68"/>
    </row>
    <row r="128" spans="1:12" s="64" customFormat="1">
      <c r="A128" s="67"/>
      <c r="F128" s="68"/>
      <c r="G128" s="68"/>
      <c r="H128" s="68"/>
      <c r="I128" s="68"/>
      <c r="J128" s="68"/>
      <c r="K128" s="68"/>
      <c r="L128" s="68"/>
    </row>
    <row r="129" spans="1:12" s="64" customFormat="1">
      <c r="A129" s="67"/>
      <c r="F129" s="68"/>
      <c r="G129" s="68"/>
      <c r="H129" s="68"/>
      <c r="I129" s="68"/>
      <c r="J129" s="68"/>
      <c r="K129" s="68"/>
      <c r="L129" s="68"/>
    </row>
    <row r="130" spans="1:12" s="64" customFormat="1">
      <c r="A130" s="67"/>
      <c r="F130" s="68"/>
      <c r="G130" s="68"/>
      <c r="H130" s="68"/>
      <c r="I130" s="68"/>
      <c r="J130" s="68"/>
      <c r="K130" s="68"/>
      <c r="L130" s="68"/>
    </row>
    <row r="131" spans="1:12" s="64" customFormat="1">
      <c r="A131" s="67"/>
      <c r="F131" s="68"/>
      <c r="G131" s="68"/>
      <c r="H131" s="68"/>
      <c r="I131" s="68"/>
      <c r="J131" s="68"/>
      <c r="K131" s="68"/>
      <c r="L131" s="68"/>
    </row>
    <row r="132" spans="1:12" s="64" customFormat="1">
      <c r="A132" s="67"/>
      <c r="F132" s="68"/>
      <c r="G132" s="68"/>
      <c r="H132" s="68"/>
      <c r="I132" s="68"/>
      <c r="J132" s="68"/>
      <c r="K132" s="68"/>
      <c r="L132" s="68"/>
    </row>
    <row r="133" spans="1:12" s="64" customFormat="1">
      <c r="A133" s="67"/>
      <c r="F133" s="68"/>
      <c r="G133" s="68"/>
      <c r="H133" s="68"/>
      <c r="I133" s="68"/>
      <c r="J133" s="68"/>
      <c r="K133" s="68"/>
      <c r="L133" s="68"/>
    </row>
    <row r="134" spans="1:12" s="64" customFormat="1">
      <c r="A134" s="67"/>
      <c r="F134" s="68"/>
      <c r="G134" s="68"/>
      <c r="H134" s="68"/>
      <c r="I134" s="68"/>
      <c r="J134" s="68"/>
      <c r="K134" s="68"/>
      <c r="L134" s="68"/>
    </row>
    <row r="135" spans="1:12" s="64" customFormat="1">
      <c r="A135" s="67"/>
      <c r="F135" s="68"/>
      <c r="G135" s="68"/>
      <c r="H135" s="68"/>
      <c r="I135" s="68"/>
      <c r="J135" s="68"/>
      <c r="K135" s="68"/>
      <c r="L135" s="68"/>
    </row>
    <row r="136" spans="1:12" s="64" customFormat="1">
      <c r="A136" s="67"/>
      <c r="F136" s="68"/>
      <c r="G136" s="68"/>
      <c r="H136" s="68"/>
      <c r="I136" s="68"/>
      <c r="J136" s="68"/>
      <c r="K136" s="68"/>
      <c r="L136" s="68"/>
    </row>
    <row r="137" spans="1:12" s="64" customFormat="1">
      <c r="A137" s="67"/>
      <c r="F137" s="68"/>
      <c r="G137" s="68"/>
      <c r="H137" s="68"/>
      <c r="I137" s="68"/>
      <c r="J137" s="68"/>
      <c r="K137" s="68"/>
      <c r="L137" s="68"/>
    </row>
    <row r="138" spans="1:12" s="64" customFormat="1">
      <c r="A138" s="67"/>
      <c r="F138" s="68"/>
      <c r="G138" s="68"/>
      <c r="H138" s="68"/>
      <c r="I138" s="68"/>
      <c r="J138" s="68"/>
      <c r="K138" s="68"/>
      <c r="L138" s="68"/>
    </row>
    <row r="139" spans="1:12" s="64" customFormat="1">
      <c r="A139" s="67"/>
      <c r="F139" s="68"/>
      <c r="G139" s="68"/>
      <c r="H139" s="68"/>
      <c r="I139" s="68"/>
      <c r="J139" s="68"/>
      <c r="K139" s="68"/>
      <c r="L139" s="68"/>
    </row>
    <row r="140" spans="1:12" s="64" customFormat="1">
      <c r="A140" s="67"/>
      <c r="F140" s="68"/>
      <c r="G140" s="68"/>
      <c r="H140" s="68"/>
      <c r="I140" s="68"/>
      <c r="J140" s="68"/>
      <c r="K140" s="68"/>
      <c r="L140" s="68"/>
    </row>
    <row r="141" spans="1:12" s="64" customFormat="1">
      <c r="A141" s="67"/>
      <c r="F141" s="68"/>
      <c r="G141" s="68"/>
      <c r="H141" s="68"/>
      <c r="I141" s="68"/>
      <c r="J141" s="68"/>
      <c r="K141" s="68"/>
      <c r="L141" s="68"/>
    </row>
    <row r="142" spans="1:12" s="64" customFormat="1">
      <c r="A142" s="67"/>
      <c r="F142" s="68"/>
      <c r="G142" s="68"/>
      <c r="H142" s="68"/>
      <c r="I142" s="68"/>
      <c r="J142" s="68"/>
      <c r="K142" s="68"/>
      <c r="L142" s="68"/>
    </row>
    <row r="143" spans="1:12" s="64" customFormat="1">
      <c r="A143" s="67"/>
      <c r="F143" s="68"/>
      <c r="G143" s="68"/>
      <c r="H143" s="68"/>
      <c r="I143" s="68"/>
      <c r="J143" s="68"/>
      <c r="K143" s="68"/>
      <c r="L143" s="68"/>
    </row>
    <row r="144" spans="1:12" s="64" customFormat="1">
      <c r="A144" s="67"/>
      <c r="F144" s="68"/>
      <c r="G144" s="68"/>
      <c r="H144" s="68"/>
      <c r="I144" s="68"/>
      <c r="J144" s="68"/>
      <c r="K144" s="68"/>
      <c r="L144" s="68"/>
    </row>
    <row r="145" spans="1:12" s="64" customFormat="1">
      <c r="A145" s="67"/>
      <c r="F145" s="68"/>
      <c r="G145" s="68"/>
      <c r="H145" s="68"/>
      <c r="I145" s="68"/>
      <c r="J145" s="68"/>
      <c r="K145" s="68"/>
      <c r="L145" s="68"/>
    </row>
    <row r="146" spans="1:12" s="64" customFormat="1">
      <c r="A146" s="67"/>
      <c r="F146" s="68"/>
      <c r="G146" s="68"/>
      <c r="H146" s="68"/>
      <c r="I146" s="68"/>
      <c r="J146" s="68"/>
      <c r="K146" s="68"/>
      <c r="L146" s="68"/>
    </row>
    <row r="147" spans="1:12" s="64" customFormat="1">
      <c r="A147" s="67"/>
      <c r="F147" s="68"/>
      <c r="G147" s="68"/>
      <c r="H147" s="68"/>
      <c r="I147" s="68"/>
      <c r="J147" s="68"/>
      <c r="K147" s="68"/>
      <c r="L147" s="68"/>
    </row>
    <row r="148" spans="1:12" s="64" customFormat="1">
      <c r="A148" s="67"/>
      <c r="F148" s="68"/>
      <c r="G148" s="68"/>
      <c r="H148" s="68"/>
      <c r="I148" s="68"/>
      <c r="J148" s="68"/>
      <c r="K148" s="68"/>
      <c r="L148" s="68"/>
    </row>
    <row r="149" spans="1:12" s="64" customFormat="1">
      <c r="A149" s="67"/>
      <c r="F149" s="68"/>
      <c r="G149" s="68"/>
      <c r="H149" s="68"/>
      <c r="I149" s="68"/>
      <c r="J149" s="68"/>
      <c r="K149" s="68"/>
      <c r="L149" s="68"/>
    </row>
    <row r="150" spans="1:12" s="64" customFormat="1">
      <c r="A150" s="67"/>
      <c r="F150" s="68"/>
      <c r="G150" s="68"/>
      <c r="H150" s="68"/>
      <c r="I150" s="68"/>
      <c r="J150" s="68"/>
      <c r="K150" s="68"/>
      <c r="L150" s="68"/>
    </row>
    <row r="151" spans="1:12" s="64" customFormat="1">
      <c r="A151" s="67"/>
      <c r="F151" s="68"/>
      <c r="G151" s="68"/>
      <c r="H151" s="68"/>
      <c r="I151" s="68"/>
      <c r="J151" s="68"/>
      <c r="K151" s="68"/>
      <c r="L151" s="68"/>
    </row>
    <row r="152" spans="1:12" s="64" customFormat="1">
      <c r="A152" s="67"/>
      <c r="F152" s="68"/>
      <c r="G152" s="68"/>
      <c r="H152" s="68"/>
      <c r="I152" s="68"/>
      <c r="J152" s="68"/>
      <c r="K152" s="68"/>
      <c r="L152" s="68"/>
    </row>
    <row r="153" spans="1:12" s="64" customFormat="1">
      <c r="A153" s="67"/>
      <c r="F153" s="68"/>
      <c r="G153" s="68"/>
      <c r="H153" s="68"/>
      <c r="I153" s="68"/>
      <c r="J153" s="68"/>
      <c r="K153" s="68"/>
      <c r="L153" s="68"/>
    </row>
    <row r="154" spans="1:12" s="64" customFormat="1">
      <c r="A154" s="67"/>
      <c r="F154" s="68"/>
      <c r="G154" s="68"/>
      <c r="H154" s="68"/>
      <c r="I154" s="68"/>
      <c r="J154" s="68"/>
      <c r="K154" s="68"/>
      <c r="L154" s="68"/>
    </row>
    <row r="155" spans="1:12" s="64" customFormat="1">
      <c r="A155" s="67"/>
      <c r="F155" s="68"/>
      <c r="G155" s="68"/>
      <c r="H155" s="68"/>
      <c r="I155" s="68"/>
      <c r="J155" s="68"/>
      <c r="K155" s="68"/>
      <c r="L155" s="68"/>
    </row>
    <row r="156" spans="1:12" s="64" customFormat="1">
      <c r="A156" s="67"/>
      <c r="F156" s="68"/>
      <c r="G156" s="68"/>
      <c r="H156" s="68"/>
      <c r="I156" s="68"/>
      <c r="J156" s="68"/>
      <c r="K156" s="68"/>
      <c r="L156" s="68"/>
    </row>
    <row r="157" spans="1:12" s="64" customFormat="1">
      <c r="A157" s="67"/>
      <c r="F157" s="68"/>
      <c r="G157" s="68"/>
      <c r="H157" s="68"/>
      <c r="I157" s="68"/>
      <c r="J157" s="68"/>
      <c r="K157" s="68"/>
      <c r="L157" s="68"/>
    </row>
    <row r="158" spans="1:12" s="64" customFormat="1">
      <c r="A158" s="67"/>
      <c r="F158" s="68"/>
      <c r="G158" s="68"/>
      <c r="H158" s="68"/>
      <c r="I158" s="68"/>
      <c r="J158" s="68"/>
      <c r="K158" s="68"/>
      <c r="L158" s="68"/>
    </row>
    <row r="159" spans="1:12" s="64" customFormat="1">
      <c r="A159" s="67"/>
      <c r="F159" s="68"/>
      <c r="G159" s="68"/>
      <c r="H159" s="68"/>
      <c r="I159" s="68"/>
      <c r="J159" s="68"/>
      <c r="K159" s="68"/>
      <c r="L159" s="68"/>
    </row>
    <row r="160" spans="1:12" s="64" customFormat="1">
      <c r="A160" s="67"/>
      <c r="F160" s="68"/>
      <c r="G160" s="68"/>
      <c r="H160" s="68"/>
      <c r="I160" s="68"/>
      <c r="J160" s="68"/>
      <c r="K160" s="68"/>
      <c r="L160" s="68"/>
    </row>
    <row r="161" spans="1:12" s="64" customFormat="1">
      <c r="A161" s="67"/>
      <c r="F161" s="68"/>
      <c r="G161" s="68"/>
      <c r="H161" s="68"/>
      <c r="I161" s="68"/>
      <c r="J161" s="68"/>
      <c r="K161" s="68"/>
      <c r="L161" s="68"/>
    </row>
    <row r="162" spans="1:12" s="64" customFormat="1">
      <c r="A162" s="67"/>
      <c r="F162" s="68"/>
      <c r="G162" s="68"/>
      <c r="H162" s="68"/>
      <c r="I162" s="68"/>
      <c r="J162" s="68"/>
      <c r="K162" s="68"/>
      <c r="L162" s="68"/>
    </row>
    <row r="163" spans="1:12" s="64" customFormat="1">
      <c r="A163" s="67"/>
      <c r="F163" s="68"/>
      <c r="G163" s="68"/>
      <c r="H163" s="68"/>
      <c r="I163" s="68"/>
      <c r="J163" s="68"/>
      <c r="K163" s="68"/>
      <c r="L163" s="68"/>
    </row>
    <row r="164" spans="1:12" s="64" customFormat="1">
      <c r="A164" s="67"/>
      <c r="F164" s="68"/>
      <c r="G164" s="68"/>
      <c r="H164" s="68"/>
      <c r="I164" s="68"/>
      <c r="J164" s="68"/>
      <c r="K164" s="68"/>
      <c r="L164" s="68"/>
    </row>
    <row r="165" spans="1:12" s="64" customFormat="1">
      <c r="A165" s="67"/>
      <c r="F165" s="68"/>
      <c r="G165" s="68"/>
      <c r="H165" s="68"/>
      <c r="I165" s="68"/>
      <c r="J165" s="68"/>
      <c r="K165" s="68"/>
      <c r="L165" s="68"/>
    </row>
    <row r="166" spans="1:12" s="64" customFormat="1">
      <c r="A166" s="67"/>
      <c r="F166" s="68"/>
      <c r="G166" s="68"/>
      <c r="H166" s="68"/>
      <c r="I166" s="68"/>
      <c r="J166" s="68"/>
      <c r="K166" s="68"/>
      <c r="L166" s="68"/>
    </row>
    <row r="167" spans="1:12" s="64" customFormat="1">
      <c r="A167" s="67"/>
      <c r="F167" s="68"/>
      <c r="G167" s="68"/>
      <c r="H167" s="68"/>
      <c r="I167" s="68"/>
      <c r="J167" s="68"/>
      <c r="K167" s="68"/>
      <c r="L167" s="68"/>
    </row>
    <row r="168" spans="1:12" s="64" customFormat="1">
      <c r="A168" s="67"/>
      <c r="F168" s="68"/>
      <c r="G168" s="68"/>
      <c r="H168" s="68"/>
      <c r="I168" s="68"/>
      <c r="J168" s="68"/>
      <c r="K168" s="68"/>
      <c r="L168" s="68"/>
    </row>
    <row r="169" spans="1:12" s="64" customFormat="1">
      <c r="A169" s="67"/>
      <c r="F169" s="68"/>
      <c r="G169" s="68"/>
      <c r="H169" s="68"/>
      <c r="I169" s="68"/>
      <c r="J169" s="68"/>
      <c r="K169" s="68"/>
      <c r="L169" s="68"/>
    </row>
    <row r="170" spans="1:12" s="64" customFormat="1">
      <c r="A170" s="67"/>
      <c r="F170" s="68"/>
      <c r="G170" s="68"/>
      <c r="H170" s="68"/>
      <c r="I170" s="68"/>
      <c r="J170" s="68"/>
      <c r="K170" s="68"/>
      <c r="L170" s="68"/>
    </row>
    <row r="171" spans="1:12" s="64" customFormat="1">
      <c r="A171" s="67"/>
      <c r="F171" s="68"/>
      <c r="G171" s="68"/>
      <c r="H171" s="68"/>
      <c r="I171" s="68"/>
      <c r="J171" s="68"/>
      <c r="K171" s="68"/>
      <c r="L171" s="68"/>
    </row>
    <row r="172" spans="1:12" s="64" customFormat="1">
      <c r="A172" s="67"/>
      <c r="F172" s="68"/>
      <c r="G172" s="68"/>
      <c r="H172" s="68"/>
      <c r="I172" s="68"/>
      <c r="J172" s="68"/>
      <c r="K172" s="68"/>
      <c r="L172" s="68"/>
    </row>
    <row r="173" spans="1:12" s="64" customFormat="1">
      <c r="A173" s="67"/>
      <c r="F173" s="68"/>
      <c r="G173" s="68"/>
      <c r="H173" s="68"/>
      <c r="I173" s="68"/>
      <c r="J173" s="68"/>
      <c r="K173" s="68"/>
      <c r="L173" s="68"/>
    </row>
    <row r="174" spans="1:12" s="64" customFormat="1">
      <c r="A174" s="67"/>
      <c r="F174" s="68"/>
      <c r="G174" s="68"/>
      <c r="H174" s="68"/>
      <c r="I174" s="68"/>
      <c r="J174" s="68"/>
      <c r="K174" s="68"/>
      <c r="L174" s="68"/>
    </row>
    <row r="175" spans="1:12" s="64" customFormat="1">
      <c r="A175" s="67"/>
      <c r="F175" s="68"/>
      <c r="G175" s="68"/>
      <c r="H175" s="68"/>
      <c r="I175" s="68"/>
      <c r="J175" s="68"/>
      <c r="K175" s="68"/>
      <c r="L175" s="68"/>
    </row>
    <row r="176" spans="1:12" s="64" customFormat="1">
      <c r="A176" s="67"/>
      <c r="F176" s="68"/>
      <c r="G176" s="68"/>
      <c r="H176" s="68"/>
      <c r="I176" s="68"/>
      <c r="J176" s="68"/>
      <c r="K176" s="68"/>
      <c r="L176" s="68"/>
    </row>
    <row r="177" spans="1:12" s="64" customFormat="1">
      <c r="A177" s="67"/>
      <c r="F177" s="68"/>
      <c r="G177" s="68"/>
      <c r="H177" s="68"/>
      <c r="I177" s="68"/>
      <c r="J177" s="68"/>
      <c r="K177" s="68"/>
      <c r="L177" s="68"/>
    </row>
    <row r="178" spans="1:12" s="64" customFormat="1">
      <c r="A178" s="67"/>
      <c r="F178" s="68"/>
      <c r="G178" s="68"/>
      <c r="H178" s="68"/>
      <c r="I178" s="68"/>
      <c r="J178" s="68"/>
      <c r="K178" s="68"/>
      <c r="L178" s="68"/>
    </row>
    <row r="179" spans="1:12" s="64" customFormat="1">
      <c r="A179" s="67"/>
      <c r="F179" s="68"/>
      <c r="G179" s="68"/>
      <c r="H179" s="68"/>
      <c r="I179" s="68"/>
      <c r="J179" s="68"/>
      <c r="K179" s="68"/>
      <c r="L179" s="68"/>
    </row>
    <row r="180" spans="1:12" s="64" customFormat="1">
      <c r="A180" s="67"/>
      <c r="F180" s="68"/>
      <c r="G180" s="68"/>
      <c r="H180" s="68"/>
      <c r="I180" s="68"/>
      <c r="J180" s="68"/>
      <c r="K180" s="68"/>
      <c r="L180" s="68"/>
    </row>
    <row r="181" spans="1:12" s="64" customFormat="1">
      <c r="A181" s="67"/>
      <c r="F181" s="68"/>
      <c r="G181" s="68"/>
      <c r="H181" s="68"/>
      <c r="I181" s="68"/>
      <c r="J181" s="68"/>
      <c r="K181" s="68"/>
      <c r="L181" s="68"/>
    </row>
    <row r="182" spans="1:12" s="64" customFormat="1">
      <c r="A182" s="67"/>
      <c r="F182" s="68"/>
      <c r="G182" s="68"/>
      <c r="H182" s="68"/>
      <c r="I182" s="68"/>
      <c r="J182" s="68"/>
      <c r="K182" s="68"/>
      <c r="L182" s="68"/>
    </row>
    <row r="183" spans="1:12" s="64" customFormat="1">
      <c r="A183" s="67"/>
      <c r="F183" s="68"/>
      <c r="G183" s="68"/>
      <c r="H183" s="68"/>
      <c r="I183" s="68"/>
      <c r="J183" s="68"/>
      <c r="K183" s="68"/>
      <c r="L183" s="68"/>
    </row>
    <row r="184" spans="1:12" s="64" customFormat="1">
      <c r="A184" s="67"/>
      <c r="F184" s="68"/>
      <c r="G184" s="68"/>
      <c r="H184" s="68"/>
      <c r="I184" s="68"/>
      <c r="J184" s="68"/>
      <c r="K184" s="68"/>
      <c r="L184" s="68"/>
    </row>
    <row r="185" spans="1:12" s="64" customFormat="1">
      <c r="A185" s="67"/>
      <c r="F185" s="68"/>
      <c r="G185" s="68"/>
      <c r="H185" s="68"/>
      <c r="I185" s="68"/>
      <c r="J185" s="68"/>
      <c r="K185" s="68"/>
      <c r="L185" s="68"/>
    </row>
    <row r="186" spans="1:12" s="64" customFormat="1">
      <c r="A186" s="67"/>
      <c r="F186" s="68"/>
      <c r="G186" s="68"/>
      <c r="H186" s="68"/>
      <c r="I186" s="68"/>
      <c r="J186" s="68"/>
      <c r="K186" s="68"/>
      <c r="L186" s="68"/>
    </row>
    <row r="187" spans="1:12" s="64" customFormat="1">
      <c r="A187" s="67"/>
      <c r="F187" s="68"/>
      <c r="G187" s="68"/>
      <c r="H187" s="68"/>
      <c r="I187" s="68"/>
      <c r="J187" s="68"/>
      <c r="K187" s="68"/>
      <c r="L187" s="68"/>
    </row>
    <row r="188" spans="1:12" s="64" customFormat="1">
      <c r="A188" s="67"/>
      <c r="F188" s="68"/>
      <c r="G188" s="68"/>
      <c r="H188" s="68"/>
      <c r="I188" s="68"/>
      <c r="J188" s="68"/>
      <c r="K188" s="68"/>
      <c r="L188" s="68"/>
    </row>
    <row r="189" spans="1:12" s="64" customFormat="1">
      <c r="A189" s="67"/>
      <c r="F189" s="68"/>
      <c r="G189" s="68"/>
      <c r="H189" s="68"/>
      <c r="I189" s="68"/>
      <c r="J189" s="68"/>
      <c r="K189" s="68"/>
      <c r="L189" s="68"/>
    </row>
    <row r="190" spans="1:12" s="64" customFormat="1">
      <c r="A190" s="67"/>
      <c r="F190" s="68"/>
      <c r="G190" s="68"/>
      <c r="H190" s="68"/>
      <c r="I190" s="68"/>
      <c r="J190" s="68"/>
      <c r="K190" s="68"/>
      <c r="L190" s="68"/>
    </row>
    <row r="191" spans="1:12" s="64" customFormat="1">
      <c r="A191" s="67"/>
      <c r="F191" s="68"/>
      <c r="G191" s="68"/>
      <c r="H191" s="68"/>
      <c r="I191" s="68"/>
      <c r="J191" s="68"/>
      <c r="K191" s="68"/>
      <c r="L191" s="68"/>
    </row>
    <row r="192" spans="1:12" s="64" customFormat="1">
      <c r="A192" s="67"/>
      <c r="F192" s="68"/>
      <c r="G192" s="68"/>
      <c r="H192" s="68"/>
      <c r="I192" s="68"/>
      <c r="J192" s="68"/>
      <c r="K192" s="68"/>
      <c r="L192" s="68"/>
    </row>
    <row r="193" spans="1:12" s="64" customFormat="1">
      <c r="A193" s="67"/>
      <c r="F193" s="68"/>
      <c r="G193" s="68"/>
      <c r="H193" s="68"/>
      <c r="I193" s="68"/>
      <c r="J193" s="68"/>
      <c r="K193" s="68"/>
      <c r="L193" s="68"/>
    </row>
    <row r="194" spans="1:12" s="64" customFormat="1">
      <c r="A194" s="67"/>
      <c r="F194" s="68"/>
      <c r="G194" s="68"/>
      <c r="H194" s="68"/>
      <c r="I194" s="68"/>
      <c r="J194" s="68"/>
      <c r="K194" s="68"/>
      <c r="L194" s="68"/>
    </row>
    <row r="195" spans="1:12" s="64" customFormat="1">
      <c r="A195" s="67"/>
      <c r="F195" s="68"/>
      <c r="G195" s="68"/>
      <c r="H195" s="68"/>
      <c r="I195" s="68"/>
      <c r="J195" s="68"/>
      <c r="K195" s="68"/>
      <c r="L195" s="68"/>
    </row>
    <row r="196" spans="1:12" s="64" customFormat="1">
      <c r="A196" s="67"/>
      <c r="F196" s="68"/>
      <c r="G196" s="68"/>
      <c r="H196" s="68"/>
      <c r="I196" s="68"/>
      <c r="J196" s="68"/>
      <c r="K196" s="68"/>
      <c r="L196" s="68"/>
    </row>
    <row r="197" spans="1:12" s="64" customFormat="1">
      <c r="A197" s="67"/>
      <c r="F197" s="68"/>
      <c r="G197" s="68"/>
      <c r="H197" s="68"/>
      <c r="I197" s="68"/>
      <c r="J197" s="68"/>
      <c r="K197" s="68"/>
      <c r="L197" s="68"/>
    </row>
  </sheetData>
  <sheetProtection algorithmName="SHA-512" hashValue="lvlXjJAYmEUg5DbDfCofLyWWAx8lJTepWuXkYIcn7PJtzZuyyPFfl6O13Kd5oAQtgwH5s/9+6/1kxjW5ralG7Q==" saltValue="HQO5rCGZP5PggOKI2Xub6A==" spinCount="100000" sheet="1" objects="1" scenarios="1"/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7:F47"/>
    <mergeCell ref="H47:J47"/>
    <mergeCell ref="A7:J7"/>
    <mergeCell ref="A18:J18"/>
    <mergeCell ref="C46:F46"/>
    <mergeCell ref="H46:J46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3" fitToHeight="2" orientation="landscape" r:id="rId1"/>
  <headerFooter alignWithMargins="0"/>
  <ignoredErrors>
    <ignoredError sqref="F9 F19 F36 F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02"/>
  <sheetViews>
    <sheetView view="pageBreakPreview" topLeftCell="A52" zoomScale="71" zoomScaleNormal="75" zoomScaleSheetLayoutView="71" workbookViewId="0">
      <selection activeCell="P8" sqref="P8"/>
    </sheetView>
  </sheetViews>
  <sheetFormatPr defaultColWidth="9.109375" defaultRowHeight="21"/>
  <cols>
    <col min="1" max="1" width="90.88671875" style="28" customWidth="1"/>
    <col min="2" max="2" width="15" style="28" customWidth="1"/>
    <col min="3" max="3" width="17.109375" style="28" customWidth="1"/>
    <col min="4" max="5" width="17.5546875" style="28" customWidth="1"/>
    <col min="6" max="6" width="16.6640625" style="28" customWidth="1"/>
    <col min="7" max="10" width="16" style="28" customWidth="1"/>
    <col min="11" max="12" width="9.109375" style="28"/>
    <col min="13" max="13" width="12.88671875" style="28" bestFit="1" customWidth="1"/>
    <col min="14" max="16384" width="9.109375" style="28"/>
  </cols>
  <sheetData>
    <row r="1" spans="1:10" ht="23.25" customHeight="1">
      <c r="J1" s="354" t="s">
        <v>352</v>
      </c>
    </row>
    <row r="2" spans="1:10" ht="29.25" customHeight="1">
      <c r="A2" s="537" t="s">
        <v>278</v>
      </c>
      <c r="B2" s="537"/>
      <c r="C2" s="537"/>
      <c r="D2" s="537"/>
      <c r="E2" s="537"/>
      <c r="F2" s="537"/>
      <c r="G2" s="537"/>
      <c r="H2" s="537"/>
      <c r="I2" s="537"/>
      <c r="J2" s="537"/>
    </row>
    <row r="3" spans="1:10" ht="17.25" customHeight="1">
      <c r="A3" s="86"/>
      <c r="B3" s="86"/>
      <c r="C3" s="86"/>
      <c r="D3" s="86"/>
      <c r="E3" s="86"/>
      <c r="F3" s="86"/>
      <c r="G3" s="86"/>
      <c r="H3" s="86"/>
      <c r="I3" s="86"/>
      <c r="J3" s="298" t="s">
        <v>360</v>
      </c>
    </row>
    <row r="4" spans="1:10" ht="48" customHeight="1">
      <c r="A4" s="577" t="s">
        <v>164</v>
      </c>
      <c r="B4" s="569" t="s">
        <v>0</v>
      </c>
      <c r="C4" s="546" t="s">
        <v>673</v>
      </c>
      <c r="D4" s="546" t="s">
        <v>674</v>
      </c>
      <c r="E4" s="544" t="s">
        <v>675</v>
      </c>
      <c r="F4" s="551" t="s">
        <v>676</v>
      </c>
      <c r="G4" s="551" t="s">
        <v>329</v>
      </c>
      <c r="H4" s="551"/>
      <c r="I4" s="551"/>
      <c r="J4" s="551"/>
    </row>
    <row r="5" spans="1:10" ht="72" customHeight="1">
      <c r="A5" s="578"/>
      <c r="B5" s="569"/>
      <c r="C5" s="547"/>
      <c r="D5" s="547"/>
      <c r="E5" s="545"/>
      <c r="F5" s="551"/>
      <c r="G5" s="440" t="s">
        <v>126</v>
      </c>
      <c r="H5" s="440" t="s">
        <v>127</v>
      </c>
      <c r="I5" s="440" t="s">
        <v>128</v>
      </c>
      <c r="J5" s="440" t="s">
        <v>63</v>
      </c>
    </row>
    <row r="6" spans="1:10" ht="27" customHeight="1">
      <c r="A6" s="304">
        <v>1</v>
      </c>
      <c r="B6" s="305">
        <v>2</v>
      </c>
      <c r="C6" s="305">
        <v>3</v>
      </c>
      <c r="D6" s="305">
        <v>4</v>
      </c>
      <c r="E6" s="305">
        <v>5</v>
      </c>
      <c r="F6" s="305">
        <v>6</v>
      </c>
      <c r="G6" s="305">
        <v>7</v>
      </c>
      <c r="H6" s="305">
        <v>8</v>
      </c>
      <c r="I6" s="305">
        <v>9</v>
      </c>
      <c r="J6" s="305">
        <v>10</v>
      </c>
    </row>
    <row r="7" spans="1:10" s="355" customFormat="1" ht="36" customHeight="1">
      <c r="A7" s="78" t="s">
        <v>110</v>
      </c>
      <c r="B7" s="69"/>
      <c r="C7" s="70"/>
      <c r="D7" s="70"/>
      <c r="E7" s="70"/>
      <c r="F7" s="430"/>
      <c r="G7" s="70"/>
      <c r="H7" s="70"/>
      <c r="I7" s="70"/>
      <c r="J7" s="71"/>
    </row>
    <row r="8" spans="1:10" ht="34.5" customHeight="1">
      <c r="A8" s="72" t="s">
        <v>249</v>
      </c>
      <c r="B8" s="73">
        <v>3000</v>
      </c>
      <c r="C8" s="40">
        <f>SUM(C9:C10,C12:C17)</f>
        <v>117414</v>
      </c>
      <c r="D8" s="40">
        <f t="shared" ref="D8:J8" si="0">SUM(D9:D10,D12:D17)</f>
        <v>143703</v>
      </c>
      <c r="E8" s="40">
        <f>D8</f>
        <v>143703</v>
      </c>
      <c r="F8" s="40">
        <f t="shared" ref="F8:F18" si="1">SUM(G8:J8)</f>
        <v>167416</v>
      </c>
      <c r="G8" s="40">
        <f t="shared" si="0"/>
        <v>41854</v>
      </c>
      <c r="H8" s="40">
        <f t="shared" si="0"/>
        <v>41854</v>
      </c>
      <c r="I8" s="40">
        <f t="shared" si="0"/>
        <v>41854</v>
      </c>
      <c r="J8" s="40">
        <f t="shared" si="0"/>
        <v>41854</v>
      </c>
    </row>
    <row r="9" spans="1:10" ht="33" customHeight="1">
      <c r="A9" s="315" t="s">
        <v>308</v>
      </c>
      <c r="B9" s="42">
        <v>3010</v>
      </c>
      <c r="C9" s="38">
        <v>116981</v>
      </c>
      <c r="D9" s="38">
        <v>143703</v>
      </c>
      <c r="E9" s="38">
        <f t="shared" ref="E9:E33" si="2">D9</f>
        <v>143703</v>
      </c>
      <c r="F9" s="38">
        <f t="shared" si="1"/>
        <v>167416</v>
      </c>
      <c r="G9" s="38">
        <f>'I. Фін результат'!G8*1.2</f>
        <v>41854</v>
      </c>
      <c r="H9" s="38">
        <f>'I. Фін результат'!H8*1.2</f>
        <v>41854</v>
      </c>
      <c r="I9" s="38">
        <f>'I. Фін результат'!I8*1.2</f>
        <v>41854</v>
      </c>
      <c r="J9" s="38">
        <f>'I. Фін результат'!J8*1.2</f>
        <v>41854</v>
      </c>
    </row>
    <row r="10" spans="1:10" ht="30" customHeight="1">
      <c r="A10" s="315" t="s">
        <v>250</v>
      </c>
      <c r="B10" s="42">
        <v>3020</v>
      </c>
      <c r="C10" s="38"/>
      <c r="D10" s="38"/>
      <c r="E10" s="40">
        <f t="shared" si="2"/>
        <v>0</v>
      </c>
      <c r="F10" s="38">
        <f t="shared" si="1"/>
        <v>0</v>
      </c>
      <c r="G10" s="38"/>
      <c r="H10" s="38"/>
      <c r="I10" s="38"/>
      <c r="J10" s="38"/>
    </row>
    <row r="11" spans="1:10" ht="28.5" customHeight="1">
      <c r="A11" s="315" t="s">
        <v>251</v>
      </c>
      <c r="B11" s="42">
        <v>3021</v>
      </c>
      <c r="C11" s="38"/>
      <c r="D11" s="38"/>
      <c r="E11" s="40">
        <f t="shared" si="2"/>
        <v>0</v>
      </c>
      <c r="F11" s="38">
        <f t="shared" si="1"/>
        <v>0</v>
      </c>
      <c r="G11" s="38"/>
      <c r="H11" s="38"/>
      <c r="I11" s="38"/>
      <c r="J11" s="38"/>
    </row>
    <row r="12" spans="1:10" ht="36.75" customHeight="1">
      <c r="A12" s="315" t="s">
        <v>703</v>
      </c>
      <c r="B12" s="42">
        <v>3030</v>
      </c>
      <c r="C12" s="38"/>
      <c r="D12" s="38" t="s">
        <v>519</v>
      </c>
      <c r="E12" s="38" t="str">
        <f t="shared" si="2"/>
        <v>-</v>
      </c>
      <c r="F12" s="38">
        <f t="shared" si="1"/>
        <v>0</v>
      </c>
      <c r="G12" s="38"/>
      <c r="H12" s="38"/>
      <c r="I12" s="38"/>
      <c r="J12" s="38"/>
    </row>
    <row r="13" spans="1:10" ht="34.5" customHeight="1">
      <c r="A13" s="315" t="s">
        <v>376</v>
      </c>
      <c r="B13" s="42">
        <v>3040</v>
      </c>
      <c r="C13" s="38"/>
      <c r="D13" s="38" t="s">
        <v>519</v>
      </c>
      <c r="E13" s="40" t="str">
        <f t="shared" si="2"/>
        <v>-</v>
      </c>
      <c r="F13" s="38">
        <f t="shared" si="1"/>
        <v>0</v>
      </c>
      <c r="G13" s="38"/>
      <c r="H13" s="38"/>
      <c r="I13" s="38"/>
      <c r="J13" s="38"/>
    </row>
    <row r="14" spans="1:10" ht="34.5" customHeight="1">
      <c r="A14" s="315" t="s">
        <v>252</v>
      </c>
      <c r="B14" s="42">
        <v>3050</v>
      </c>
      <c r="C14" s="38"/>
      <c r="D14" s="38"/>
      <c r="E14" s="40">
        <f t="shared" si="2"/>
        <v>0</v>
      </c>
      <c r="F14" s="38">
        <f t="shared" si="1"/>
        <v>0</v>
      </c>
      <c r="G14" s="38"/>
      <c r="H14" s="38"/>
      <c r="I14" s="38"/>
      <c r="J14" s="38"/>
    </row>
    <row r="15" spans="1:10" ht="34.5" customHeight="1">
      <c r="A15" s="315" t="s">
        <v>377</v>
      </c>
      <c r="B15" s="42">
        <v>3060</v>
      </c>
      <c r="C15" s="38">
        <v>52</v>
      </c>
      <c r="D15" s="38"/>
      <c r="E15" s="40">
        <f t="shared" si="2"/>
        <v>0</v>
      </c>
      <c r="F15" s="38">
        <f t="shared" si="1"/>
        <v>0</v>
      </c>
      <c r="G15" s="38"/>
      <c r="H15" s="38"/>
      <c r="I15" s="38"/>
      <c r="J15" s="38"/>
    </row>
    <row r="16" spans="1:10" ht="34.5" customHeight="1">
      <c r="A16" s="315" t="s">
        <v>378</v>
      </c>
      <c r="B16" s="42">
        <v>3070</v>
      </c>
      <c r="C16" s="38">
        <v>7</v>
      </c>
      <c r="D16" s="38"/>
      <c r="E16" s="40">
        <f t="shared" si="2"/>
        <v>0</v>
      </c>
      <c r="F16" s="38">
        <f t="shared" si="1"/>
        <v>0</v>
      </c>
      <c r="G16" s="38"/>
      <c r="H16" s="38"/>
      <c r="I16" s="38"/>
      <c r="J16" s="38"/>
    </row>
    <row r="17" spans="1:13" ht="34.5" customHeight="1">
      <c r="A17" s="315" t="s">
        <v>373</v>
      </c>
      <c r="B17" s="42">
        <v>3080</v>
      </c>
      <c r="C17" s="38">
        <v>374</v>
      </c>
      <c r="D17" s="38"/>
      <c r="E17" s="40">
        <f t="shared" si="2"/>
        <v>0</v>
      </c>
      <c r="F17" s="38">
        <f t="shared" si="1"/>
        <v>0</v>
      </c>
      <c r="G17" s="38"/>
      <c r="H17" s="38"/>
      <c r="I17" s="38"/>
      <c r="J17" s="38"/>
    </row>
    <row r="18" spans="1:13" ht="34.5" customHeight="1">
      <c r="A18" s="72" t="s">
        <v>253</v>
      </c>
      <c r="B18" s="73">
        <v>3100</v>
      </c>
      <c r="C18" s="40">
        <f>SUM(C19:C20,C21,C32,C33)</f>
        <v>-107036</v>
      </c>
      <c r="D18" s="40">
        <f>SUM(D19:D20,D21,D32,D33)</f>
        <v>-137831</v>
      </c>
      <c r="E18" s="40">
        <f>SUM(E19:E20,E21,E32,E33)</f>
        <v>-138501</v>
      </c>
      <c r="F18" s="40">
        <f t="shared" si="1"/>
        <v>-163108</v>
      </c>
      <c r="G18" s="40">
        <f>SUM(G19:G20,G21,G32,G33)</f>
        <v>-40600</v>
      </c>
      <c r="H18" s="40">
        <f>SUM(H19:H20,H21,H32,H33)</f>
        <v>-40827</v>
      </c>
      <c r="I18" s="40">
        <f>SUM(I19:I20,I21,I32,I33)</f>
        <v>-40829</v>
      </c>
      <c r="J18" s="40">
        <f>SUM(J19:J20,J21,J32,J33)</f>
        <v>-40852</v>
      </c>
    </row>
    <row r="19" spans="1:13" ht="33" customHeight="1">
      <c r="A19" s="315" t="s">
        <v>254</v>
      </c>
      <c r="B19" s="42">
        <v>3110</v>
      </c>
      <c r="C19" s="38">
        <v>-47233</v>
      </c>
      <c r="D19" s="38">
        <v>-62866</v>
      </c>
      <c r="E19" s="38">
        <v>-72082</v>
      </c>
      <c r="F19" s="38">
        <f>SUM(G19:J19)</f>
        <v>-92910</v>
      </c>
      <c r="G19" s="38">
        <v>-22780</v>
      </c>
      <c r="H19" s="38">
        <v>-23370</v>
      </c>
      <c r="I19" s="38">
        <v>-23370</v>
      </c>
      <c r="J19" s="38">
        <v>-23390</v>
      </c>
      <c r="M19" s="431">
        <f>F19/1.2</f>
        <v>-77425</v>
      </c>
    </row>
    <row r="20" spans="1:13" ht="34.5" customHeight="1">
      <c r="A20" s="315" t="s">
        <v>255</v>
      </c>
      <c r="B20" s="42">
        <v>3120</v>
      </c>
      <c r="C20" s="38">
        <f>-28542</f>
        <v>-28542</v>
      </c>
      <c r="D20" s="38">
        <v>-36896</v>
      </c>
      <c r="E20" s="38">
        <v>-31259</v>
      </c>
      <c r="F20" s="38">
        <f>SUM(G20:J20)</f>
        <v>-32276</v>
      </c>
      <c r="G20" s="38">
        <f>('I. Фін результат'!G13+'I. Фін результат'!G25)*0.805</f>
        <v>-8069</v>
      </c>
      <c r="H20" s="38">
        <f>('I. Фін результат'!H13+'I. Фін результат'!H25)*0.805</f>
        <v>-8069</v>
      </c>
      <c r="I20" s="38">
        <f>('I. Фін результат'!I13+'I. Фін результат'!I25)*0.805</f>
        <v>-8069</v>
      </c>
      <c r="J20" s="38">
        <f>('I. Фін результат'!J13+'I. Фін результат'!J25)*0.805</f>
        <v>-8069</v>
      </c>
    </row>
    <row r="21" spans="1:13" ht="48" customHeight="1">
      <c r="A21" s="315" t="s">
        <v>256</v>
      </c>
      <c r="B21" s="42">
        <v>3130</v>
      </c>
      <c r="C21" s="38">
        <v>-31152</v>
      </c>
      <c r="D21" s="38">
        <v>-38069</v>
      </c>
      <c r="E21" s="38">
        <f>SUM(E22:E31)</f>
        <v>-35160</v>
      </c>
      <c r="F21" s="38">
        <f t="shared" ref="F21:F36" si="3">SUM(G21:J21)</f>
        <v>-37922</v>
      </c>
      <c r="G21" s="38">
        <f>SUM(G22:G31)</f>
        <v>-9751</v>
      </c>
      <c r="H21" s="38">
        <f t="shared" ref="H21:J21" si="4">SUM(H22:H31)</f>
        <v>-9388</v>
      </c>
      <c r="I21" s="38">
        <f t="shared" si="4"/>
        <v>-9390</v>
      </c>
      <c r="J21" s="38">
        <f t="shared" si="4"/>
        <v>-9393</v>
      </c>
    </row>
    <row r="22" spans="1:13" ht="39.75" customHeight="1">
      <c r="A22" s="315" t="s">
        <v>257</v>
      </c>
      <c r="B22" s="42">
        <v>3131</v>
      </c>
      <c r="C22" s="38">
        <v>-49</v>
      </c>
      <c r="D22" s="38">
        <v>-2037</v>
      </c>
      <c r="E22" s="38">
        <f t="shared" si="2"/>
        <v>-2037</v>
      </c>
      <c r="F22" s="38">
        <f t="shared" si="3"/>
        <v>-1514</v>
      </c>
      <c r="G22" s="38">
        <v>-727</v>
      </c>
      <c r="H22" s="38">
        <f>-'ІІ. Розр. з бюджетом'!G28</f>
        <v>-260</v>
      </c>
      <c r="I22" s="38">
        <f>-'ІІ. Розр. з бюджетом'!H28</f>
        <v>-262</v>
      </c>
      <c r="J22" s="38">
        <f>-'ІІ. Розр. з бюджетом'!I28</f>
        <v>-265</v>
      </c>
    </row>
    <row r="23" spans="1:13" ht="39.75" customHeight="1">
      <c r="A23" s="315" t="s">
        <v>258</v>
      </c>
      <c r="B23" s="42">
        <v>3132</v>
      </c>
      <c r="C23" s="38">
        <v>-11912</v>
      </c>
      <c r="D23" s="38">
        <v>-12040</v>
      </c>
      <c r="E23" s="38">
        <f t="shared" si="2"/>
        <v>-12040</v>
      </c>
      <c r="F23" s="38">
        <f t="shared" si="3"/>
        <v>-14400</v>
      </c>
      <c r="G23" s="38">
        <f>-'ІІ. Розр. з бюджетом'!G20</f>
        <v>-3600</v>
      </c>
      <c r="H23" s="38">
        <f>-'ІІ. Розр. з бюджетом'!H20</f>
        <v>-3600</v>
      </c>
      <c r="I23" s="38">
        <f>-'ІІ. Розр. з бюджетом'!I20</f>
        <v>-3600</v>
      </c>
      <c r="J23" s="38">
        <f>-'ІІ. Розр. з бюджетом'!J20</f>
        <v>-3600</v>
      </c>
    </row>
    <row r="24" spans="1:13" ht="39.75" customHeight="1">
      <c r="A24" s="315" t="s">
        <v>74</v>
      </c>
      <c r="B24" s="42">
        <v>3133</v>
      </c>
      <c r="C24" s="38">
        <v>-6768</v>
      </c>
      <c r="D24" s="38">
        <v>-8252</v>
      </c>
      <c r="E24" s="38">
        <v>-6990</v>
      </c>
      <c r="F24" s="38">
        <f t="shared" si="3"/>
        <v>-7216</v>
      </c>
      <c r="G24" s="38">
        <f>-'ІІ. Розр. з бюджетом'!G29</f>
        <v>-1804</v>
      </c>
      <c r="H24" s="38">
        <f>-'ІІ. Розр. з бюджетом'!H29</f>
        <v>-1804</v>
      </c>
      <c r="I24" s="38">
        <f>-'ІІ. Розр. з бюджетом'!I29</f>
        <v>-1804</v>
      </c>
      <c r="J24" s="38">
        <f>-'ІІ. Розр. з бюджетом'!J29</f>
        <v>-1804</v>
      </c>
    </row>
    <row r="25" spans="1:13" ht="39.75" customHeight="1">
      <c r="A25" s="315" t="s">
        <v>374</v>
      </c>
      <c r="B25" s="42">
        <v>3134</v>
      </c>
      <c r="C25" s="38" t="s">
        <v>197</v>
      </c>
      <c r="D25" s="38" t="s">
        <v>197</v>
      </c>
      <c r="E25" s="38" t="str">
        <f t="shared" si="2"/>
        <v>(    )</v>
      </c>
      <c r="F25" s="38">
        <f t="shared" si="3"/>
        <v>0</v>
      </c>
      <c r="G25" s="38" t="s">
        <v>197</v>
      </c>
      <c r="H25" s="38" t="s">
        <v>197</v>
      </c>
      <c r="I25" s="38" t="s">
        <v>197</v>
      </c>
      <c r="J25" s="38" t="s">
        <v>197</v>
      </c>
    </row>
    <row r="26" spans="1:13" ht="39.75" customHeight="1">
      <c r="A26" s="315" t="s">
        <v>287</v>
      </c>
      <c r="B26" s="42">
        <v>3135</v>
      </c>
      <c r="C26" s="38">
        <v>-151</v>
      </c>
      <c r="D26" s="38">
        <v>-152</v>
      </c>
      <c r="E26" s="38">
        <f t="shared" si="2"/>
        <v>-152</v>
      </c>
      <c r="F26" s="38">
        <f t="shared" si="3"/>
        <v>-164</v>
      </c>
      <c r="G26" s="38">
        <f>-'ІІ. Розр. з бюджетом'!G31</f>
        <v>-41</v>
      </c>
      <c r="H26" s="38">
        <f>-'ІІ. Розр. з бюджетом'!H31</f>
        <v>-41</v>
      </c>
      <c r="I26" s="38">
        <f>-'ІІ. Розр. з бюджетом'!I31</f>
        <v>-41</v>
      </c>
      <c r="J26" s="38">
        <f>-'ІІ. Розр. з бюджетом'!J31</f>
        <v>-41</v>
      </c>
    </row>
    <row r="27" spans="1:13" ht="39.75" customHeight="1">
      <c r="A27" s="315" t="s">
        <v>288</v>
      </c>
      <c r="B27" s="42">
        <v>3136</v>
      </c>
      <c r="C27" s="38" t="s">
        <v>197</v>
      </c>
      <c r="D27" s="38" t="s">
        <v>197</v>
      </c>
      <c r="E27" s="38" t="str">
        <f t="shared" si="2"/>
        <v>(    )</v>
      </c>
      <c r="F27" s="38">
        <f t="shared" si="3"/>
        <v>0</v>
      </c>
      <c r="G27" s="38" t="s">
        <v>197</v>
      </c>
      <c r="H27" s="38" t="s">
        <v>197</v>
      </c>
      <c r="I27" s="38" t="s">
        <v>197</v>
      </c>
      <c r="J27" s="38" t="s">
        <v>197</v>
      </c>
    </row>
    <row r="28" spans="1:13" ht="39.75" customHeight="1">
      <c r="A28" s="315" t="s">
        <v>294</v>
      </c>
      <c r="B28" s="42">
        <v>3137</v>
      </c>
      <c r="C28" s="38" t="s">
        <v>197</v>
      </c>
      <c r="D28" s="38" t="s">
        <v>197</v>
      </c>
      <c r="E28" s="38" t="str">
        <f t="shared" si="2"/>
        <v>(    )</v>
      </c>
      <c r="F28" s="38">
        <f t="shared" si="3"/>
        <v>0</v>
      </c>
      <c r="G28" s="38" t="s">
        <v>197</v>
      </c>
      <c r="H28" s="38" t="s">
        <v>197</v>
      </c>
      <c r="I28" s="38" t="s">
        <v>197</v>
      </c>
      <c r="J28" s="38" t="s">
        <v>197</v>
      </c>
    </row>
    <row r="29" spans="1:13" ht="39.75" customHeight="1">
      <c r="A29" s="315" t="s">
        <v>368</v>
      </c>
      <c r="B29" s="42">
        <v>3138</v>
      </c>
      <c r="C29" s="38">
        <v>-83</v>
      </c>
      <c r="D29" s="38">
        <v>-688</v>
      </c>
      <c r="E29" s="38">
        <v>-582</v>
      </c>
      <c r="F29" s="38">
        <f t="shared" si="3"/>
        <v>-600</v>
      </c>
      <c r="G29" s="38">
        <f>-'ІІ. Розр. з бюджетом'!G25</f>
        <v>-150</v>
      </c>
      <c r="H29" s="38">
        <f>-'ІІ. Розр. з бюджетом'!H25</f>
        <v>-150</v>
      </c>
      <c r="I29" s="38">
        <f>-'ІІ. Розр. з бюджетом'!I25</f>
        <v>-150</v>
      </c>
      <c r="J29" s="38">
        <f>-'ІІ. Розр. з бюджетом'!J25</f>
        <v>-150</v>
      </c>
    </row>
    <row r="30" spans="1:13" ht="39.75" customHeight="1">
      <c r="A30" s="315" t="s">
        <v>375</v>
      </c>
      <c r="B30" s="42">
        <v>3139</v>
      </c>
      <c r="C30" s="38">
        <v>-7392</v>
      </c>
      <c r="D30" s="38">
        <v>-10084</v>
      </c>
      <c r="E30" s="38">
        <v>-8543</v>
      </c>
      <c r="F30" s="38">
        <f t="shared" si="3"/>
        <v>-8820</v>
      </c>
      <c r="G30" s="38">
        <f>-'ІІ. Розр. з бюджетом'!G38</f>
        <v>-2205</v>
      </c>
      <c r="H30" s="38">
        <f>-'ІІ. Розр. з бюджетом'!H38</f>
        <v>-2205</v>
      </c>
      <c r="I30" s="38">
        <f>-'ІІ. Розр. з бюджетом'!I38</f>
        <v>-2205</v>
      </c>
      <c r="J30" s="38">
        <f>-'ІІ. Розр. з бюджетом'!J38</f>
        <v>-2205</v>
      </c>
    </row>
    <row r="31" spans="1:13" ht="39.75" customHeight="1">
      <c r="A31" s="315" t="s">
        <v>433</v>
      </c>
      <c r="B31" s="42">
        <v>3140</v>
      </c>
      <c r="C31" s="38">
        <v>-4797</v>
      </c>
      <c r="D31" s="38">
        <v>-4816</v>
      </c>
      <c r="E31" s="38">
        <f t="shared" si="2"/>
        <v>-4816</v>
      </c>
      <c r="F31" s="38">
        <f t="shared" si="3"/>
        <v>-5208</v>
      </c>
      <c r="G31" s="38">
        <v>-1224</v>
      </c>
      <c r="H31" s="38">
        <f>-'ІІ. Розр. з бюджетом'!G39</f>
        <v>-1328</v>
      </c>
      <c r="I31" s="38">
        <f>-'ІІ. Розр. з бюджетом'!H39</f>
        <v>-1328</v>
      </c>
      <c r="J31" s="38">
        <f>-'ІІ. Розр. з бюджетом'!I39</f>
        <v>-1328</v>
      </c>
    </row>
    <row r="32" spans="1:13" ht="39.75" customHeight="1">
      <c r="A32" s="315" t="s">
        <v>259</v>
      </c>
      <c r="B32" s="42">
        <v>3150</v>
      </c>
      <c r="C32" s="38" t="s">
        <v>197</v>
      </c>
      <c r="D32" s="38" t="s">
        <v>197</v>
      </c>
      <c r="E32" s="40" t="str">
        <f t="shared" si="2"/>
        <v>(    )</v>
      </c>
      <c r="F32" s="38">
        <f t="shared" si="3"/>
        <v>0</v>
      </c>
      <c r="G32" s="38" t="s">
        <v>197</v>
      </c>
      <c r="H32" s="38" t="s">
        <v>197</v>
      </c>
      <c r="I32" s="38" t="s">
        <v>197</v>
      </c>
      <c r="J32" s="38" t="s">
        <v>197</v>
      </c>
    </row>
    <row r="33" spans="1:10" ht="39.75" customHeight="1">
      <c r="A33" s="315" t="s">
        <v>498</v>
      </c>
      <c r="B33" s="42">
        <v>3160</v>
      </c>
      <c r="C33" s="38">
        <v>-109</v>
      </c>
      <c r="D33" s="38" t="s">
        <v>197</v>
      </c>
      <c r="E33" s="40" t="str">
        <f t="shared" si="2"/>
        <v>(    )</v>
      </c>
      <c r="F33" s="38">
        <f t="shared" si="3"/>
        <v>0</v>
      </c>
      <c r="G33" s="38" t="s">
        <v>197</v>
      </c>
      <c r="H33" s="38" t="s">
        <v>197</v>
      </c>
      <c r="I33" s="38" t="s">
        <v>197</v>
      </c>
      <c r="J33" s="38" t="s">
        <v>197</v>
      </c>
    </row>
    <row r="34" spans="1:10" ht="34.5" customHeight="1">
      <c r="A34" s="72" t="s">
        <v>211</v>
      </c>
      <c r="B34" s="73">
        <v>3195</v>
      </c>
      <c r="C34" s="40">
        <f>SUM(C8,C18)</f>
        <v>10378</v>
      </c>
      <c r="D34" s="40">
        <f>SUM(D8,D18)</f>
        <v>5872</v>
      </c>
      <c r="E34" s="40">
        <f>SUM(E8,E18)</f>
        <v>5202</v>
      </c>
      <c r="F34" s="40">
        <f t="shared" si="3"/>
        <v>4308</v>
      </c>
      <c r="G34" s="40">
        <f>SUM(G8,G18)</f>
        <v>1254</v>
      </c>
      <c r="H34" s="40">
        <f>SUM(H8,H18)</f>
        <v>1027</v>
      </c>
      <c r="I34" s="40">
        <f>SUM(I8,I18)</f>
        <v>1025</v>
      </c>
      <c r="J34" s="40">
        <f>SUM(J8,J18)</f>
        <v>1002</v>
      </c>
    </row>
    <row r="35" spans="1:10" ht="42" customHeight="1">
      <c r="A35" s="78" t="s">
        <v>111</v>
      </c>
      <c r="B35" s="69"/>
      <c r="C35" s="116"/>
      <c r="D35" s="116"/>
      <c r="E35" s="116"/>
      <c r="F35" s="116"/>
      <c r="G35" s="116"/>
      <c r="H35" s="116"/>
      <c r="I35" s="116"/>
      <c r="J35" s="117"/>
    </row>
    <row r="36" spans="1:10" ht="34.5" customHeight="1">
      <c r="A36" s="72" t="s">
        <v>260</v>
      </c>
      <c r="B36" s="73">
        <v>3200</v>
      </c>
      <c r="C36" s="40">
        <f>SUM(C37:C40)</f>
        <v>0</v>
      </c>
      <c r="D36" s="40">
        <f>SUM(D37:D40)</f>
        <v>0</v>
      </c>
      <c r="E36" s="40">
        <f>D36</f>
        <v>0</v>
      </c>
      <c r="F36" s="40">
        <f t="shared" si="3"/>
        <v>0</v>
      </c>
      <c r="G36" s="40">
        <f>SUM(G37:G40)</f>
        <v>0</v>
      </c>
      <c r="H36" s="40">
        <f>SUM(H37:H40)</f>
        <v>0</v>
      </c>
      <c r="I36" s="40">
        <f>SUM(I37:I40)</f>
        <v>0</v>
      </c>
      <c r="J36" s="40">
        <f>SUM(J37:J40)</f>
        <v>0</v>
      </c>
    </row>
    <row r="37" spans="1:10" ht="39" customHeight="1">
      <c r="A37" s="315" t="s">
        <v>261</v>
      </c>
      <c r="B37" s="42">
        <v>3210</v>
      </c>
      <c r="C37" s="38"/>
      <c r="D37" s="38"/>
      <c r="E37" s="40">
        <f t="shared" ref="E37:E63" si="5">D37</f>
        <v>0</v>
      </c>
      <c r="F37" s="38">
        <f>SUM(G37:J37)</f>
        <v>0</v>
      </c>
      <c r="G37" s="38"/>
      <c r="H37" s="38"/>
      <c r="I37" s="38"/>
      <c r="J37" s="38"/>
    </row>
    <row r="38" spans="1:10" ht="39" customHeight="1">
      <c r="A38" s="315" t="s">
        <v>262</v>
      </c>
      <c r="B38" s="42">
        <v>3220</v>
      </c>
      <c r="C38" s="38"/>
      <c r="D38" s="38"/>
      <c r="E38" s="40">
        <f t="shared" si="5"/>
        <v>0</v>
      </c>
      <c r="F38" s="38">
        <f>SUM(G38:J38)</f>
        <v>0</v>
      </c>
      <c r="G38" s="38"/>
      <c r="H38" s="38"/>
      <c r="I38" s="38"/>
      <c r="J38" s="38"/>
    </row>
    <row r="39" spans="1:10" ht="39" customHeight="1">
      <c r="A39" s="315" t="s">
        <v>47</v>
      </c>
      <c r="B39" s="42">
        <v>3230</v>
      </c>
      <c r="C39" s="38"/>
      <c r="D39" s="38"/>
      <c r="E39" s="40">
        <f t="shared" si="5"/>
        <v>0</v>
      </c>
      <c r="F39" s="38">
        <f>SUM(G39:J39)</f>
        <v>0</v>
      </c>
      <c r="G39" s="38"/>
      <c r="H39" s="38"/>
      <c r="I39" s="38"/>
      <c r="J39" s="38"/>
    </row>
    <row r="40" spans="1:10" ht="39" customHeight="1">
      <c r="A40" s="315" t="s">
        <v>373</v>
      </c>
      <c r="B40" s="42">
        <v>3240</v>
      </c>
      <c r="C40" s="38"/>
      <c r="D40" s="38"/>
      <c r="E40" s="40">
        <f t="shared" si="5"/>
        <v>0</v>
      </c>
      <c r="F40" s="38">
        <f t="shared" ref="F40:F50" si="6">SUM(G40:J40)</f>
        <v>0</v>
      </c>
      <c r="G40" s="38"/>
      <c r="H40" s="38"/>
      <c r="I40" s="38"/>
      <c r="J40" s="38"/>
    </row>
    <row r="41" spans="1:10" ht="39" customHeight="1">
      <c r="A41" s="72" t="s">
        <v>263</v>
      </c>
      <c r="B41" s="73">
        <v>3255</v>
      </c>
      <c r="C41" s="40">
        <f>SUM(C42,C44,C51)</f>
        <v>-1744</v>
      </c>
      <c r="D41" s="40">
        <f t="shared" ref="D41:J41" si="7">SUM(D42,D44,D51)</f>
        <v>-144</v>
      </c>
      <c r="E41" s="40">
        <f t="shared" si="7"/>
        <v>-144</v>
      </c>
      <c r="F41" s="40">
        <f t="shared" si="6"/>
        <v>-96</v>
      </c>
      <c r="G41" s="40">
        <f t="shared" si="7"/>
        <v>-24</v>
      </c>
      <c r="H41" s="40">
        <f t="shared" si="7"/>
        <v>-24</v>
      </c>
      <c r="I41" s="40">
        <f t="shared" si="7"/>
        <v>-24</v>
      </c>
      <c r="J41" s="40">
        <f t="shared" si="7"/>
        <v>-24</v>
      </c>
    </row>
    <row r="42" spans="1:10" ht="42.75" customHeight="1">
      <c r="A42" s="79" t="s">
        <v>379</v>
      </c>
      <c r="B42" s="80">
        <v>3260</v>
      </c>
      <c r="C42" s="38" t="str">
        <f>C43</f>
        <v>(    )</v>
      </c>
      <c r="D42" s="38" t="str">
        <f t="shared" ref="D42:J42" si="8">D43</f>
        <v>(    )</v>
      </c>
      <c r="E42" s="40" t="str">
        <f t="shared" si="5"/>
        <v>(    )</v>
      </c>
      <c r="F42" s="38">
        <f t="shared" si="6"/>
        <v>0</v>
      </c>
      <c r="G42" s="38" t="str">
        <f t="shared" si="8"/>
        <v>(    )</v>
      </c>
      <c r="H42" s="38" t="str">
        <f t="shared" si="8"/>
        <v>(    )</v>
      </c>
      <c r="I42" s="38" t="str">
        <f t="shared" si="8"/>
        <v>(    )</v>
      </c>
      <c r="J42" s="38" t="str">
        <f t="shared" si="8"/>
        <v>(    )</v>
      </c>
    </row>
    <row r="43" spans="1:10" ht="37.5" customHeight="1">
      <c r="A43" s="79" t="s">
        <v>380</v>
      </c>
      <c r="B43" s="80">
        <v>3261</v>
      </c>
      <c r="C43" s="38" t="s">
        <v>197</v>
      </c>
      <c r="D43" s="38" t="s">
        <v>197</v>
      </c>
      <c r="E43" s="40" t="str">
        <f t="shared" si="5"/>
        <v>(    )</v>
      </c>
      <c r="F43" s="38">
        <f t="shared" si="6"/>
        <v>0</v>
      </c>
      <c r="G43" s="38" t="s">
        <v>197</v>
      </c>
      <c r="H43" s="38" t="s">
        <v>197</v>
      </c>
      <c r="I43" s="38" t="s">
        <v>197</v>
      </c>
      <c r="J43" s="38" t="s">
        <v>197</v>
      </c>
    </row>
    <row r="44" spans="1:10" ht="37.5" customHeight="1">
      <c r="A44" s="79" t="s">
        <v>381</v>
      </c>
      <c r="B44" s="80">
        <v>3270</v>
      </c>
      <c r="C44" s="38">
        <v>-1744</v>
      </c>
      <c r="D44" s="38">
        <v>-144</v>
      </c>
      <c r="E44" s="38">
        <f t="shared" si="5"/>
        <v>-144</v>
      </c>
      <c r="F44" s="38">
        <f t="shared" si="6"/>
        <v>-96</v>
      </c>
      <c r="G44" s="38">
        <f t="shared" ref="G44:J44" si="9">SUM(G45:G51)</f>
        <v>-24</v>
      </c>
      <c r="H44" s="38">
        <f t="shared" si="9"/>
        <v>-24</v>
      </c>
      <c r="I44" s="38">
        <f t="shared" si="9"/>
        <v>-24</v>
      </c>
      <c r="J44" s="38">
        <f t="shared" si="9"/>
        <v>-24</v>
      </c>
    </row>
    <row r="45" spans="1:10" ht="36.75" customHeight="1">
      <c r="A45" s="79" t="s">
        <v>557</v>
      </c>
      <c r="B45" s="80">
        <v>3271</v>
      </c>
      <c r="C45" s="38" t="s">
        <v>519</v>
      </c>
      <c r="D45" s="38" t="s">
        <v>519</v>
      </c>
      <c r="E45" s="38"/>
      <c r="F45" s="38">
        <f>SUM(G45:J45)</f>
        <v>0</v>
      </c>
      <c r="G45" s="38" t="s">
        <v>197</v>
      </c>
      <c r="H45" s="38" t="s">
        <v>197</v>
      </c>
      <c r="I45" s="38" t="s">
        <v>197</v>
      </c>
      <c r="J45" s="38" t="s">
        <v>197</v>
      </c>
    </row>
    <row r="46" spans="1:10" ht="36.75" customHeight="1">
      <c r="A46" s="315" t="s">
        <v>382</v>
      </c>
      <c r="B46" s="42">
        <v>3272</v>
      </c>
      <c r="C46" s="38">
        <v>-699</v>
      </c>
      <c r="D46" s="38">
        <v>-120</v>
      </c>
      <c r="E46" s="38">
        <f t="shared" si="5"/>
        <v>-120</v>
      </c>
      <c r="F46" s="38">
        <f t="shared" si="6"/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36.75" customHeight="1">
      <c r="A47" s="315" t="s">
        <v>27</v>
      </c>
      <c r="B47" s="42">
        <v>3273</v>
      </c>
      <c r="C47" s="38">
        <v>-1014</v>
      </c>
      <c r="D47" s="38">
        <v>-24</v>
      </c>
      <c r="E47" s="38">
        <f t="shared" si="5"/>
        <v>-24</v>
      </c>
      <c r="F47" s="38">
        <f t="shared" si="6"/>
        <v>-96</v>
      </c>
      <c r="G47" s="38">
        <v>-24</v>
      </c>
      <c r="H47" s="38">
        <v>-24</v>
      </c>
      <c r="I47" s="38">
        <v>-24</v>
      </c>
      <c r="J47" s="38">
        <v>-24</v>
      </c>
    </row>
    <row r="48" spans="1:10" ht="36.75" customHeight="1">
      <c r="A48" s="315" t="s">
        <v>383</v>
      </c>
      <c r="B48" s="42">
        <v>3274</v>
      </c>
      <c r="C48" s="38" t="s">
        <v>519</v>
      </c>
      <c r="D48" s="38" t="s">
        <v>197</v>
      </c>
      <c r="E48" s="40" t="str">
        <f t="shared" si="5"/>
        <v>(    )</v>
      </c>
      <c r="F48" s="38">
        <f t="shared" si="6"/>
        <v>0</v>
      </c>
      <c r="G48" s="38" t="s">
        <v>197</v>
      </c>
      <c r="H48" s="38" t="s">
        <v>197</v>
      </c>
      <c r="I48" s="38" t="s">
        <v>197</v>
      </c>
      <c r="J48" s="38" t="s">
        <v>197</v>
      </c>
    </row>
    <row r="49" spans="1:10" ht="49.5" customHeight="1">
      <c r="A49" s="315" t="s">
        <v>384</v>
      </c>
      <c r="B49" s="42">
        <v>3275</v>
      </c>
      <c r="C49" s="38">
        <v>-31</v>
      </c>
      <c r="D49" s="38" t="s">
        <v>197</v>
      </c>
      <c r="E49" s="40" t="str">
        <f t="shared" si="5"/>
        <v>(    )</v>
      </c>
      <c r="F49" s="38">
        <f t="shared" si="6"/>
        <v>0</v>
      </c>
      <c r="G49" s="38" t="s">
        <v>197</v>
      </c>
      <c r="H49" s="38" t="s">
        <v>197</v>
      </c>
      <c r="I49" s="38" t="s">
        <v>197</v>
      </c>
      <c r="J49" s="38" t="s">
        <v>197</v>
      </c>
    </row>
    <row r="50" spans="1:10" ht="36" customHeight="1">
      <c r="A50" s="315" t="s">
        <v>385</v>
      </c>
      <c r="B50" s="42">
        <v>3276</v>
      </c>
      <c r="C50" s="38" t="s">
        <v>197</v>
      </c>
      <c r="D50" s="38" t="s">
        <v>197</v>
      </c>
      <c r="E50" s="40" t="str">
        <f t="shared" si="5"/>
        <v>(    )</v>
      </c>
      <c r="F50" s="38">
        <f t="shared" si="6"/>
        <v>0</v>
      </c>
      <c r="G50" s="38" t="s">
        <v>197</v>
      </c>
      <c r="H50" s="38" t="s">
        <v>197</v>
      </c>
      <c r="I50" s="38" t="s">
        <v>197</v>
      </c>
      <c r="J50" s="38" t="s">
        <v>197</v>
      </c>
    </row>
    <row r="51" spans="1:10" ht="33" customHeight="1">
      <c r="A51" s="315" t="s">
        <v>307</v>
      </c>
      <c r="B51" s="42">
        <v>3280</v>
      </c>
      <c r="C51" s="38" t="s">
        <v>197</v>
      </c>
      <c r="D51" s="38" t="s">
        <v>197</v>
      </c>
      <c r="E51" s="40" t="str">
        <f t="shared" si="5"/>
        <v>(    )</v>
      </c>
      <c r="F51" s="38">
        <f t="shared" ref="F51:F60" si="10">SUM(G51:J51)</f>
        <v>0</v>
      </c>
      <c r="G51" s="38" t="s">
        <v>197</v>
      </c>
      <c r="H51" s="38" t="s">
        <v>197</v>
      </c>
      <c r="I51" s="38" t="s">
        <v>197</v>
      </c>
      <c r="J51" s="38" t="s">
        <v>197</v>
      </c>
    </row>
    <row r="52" spans="1:10" ht="34.5" customHeight="1">
      <c r="A52" s="72" t="s">
        <v>112</v>
      </c>
      <c r="B52" s="73">
        <v>3295</v>
      </c>
      <c r="C52" s="40">
        <f>SUM(C36,C41)</f>
        <v>-1744</v>
      </c>
      <c r="D52" s="40">
        <f>SUM(D36,D41)</f>
        <v>-144</v>
      </c>
      <c r="E52" s="40">
        <f>SUM(E36,E41)</f>
        <v>-144</v>
      </c>
      <c r="F52" s="40">
        <f t="shared" si="10"/>
        <v>-96</v>
      </c>
      <c r="G52" s="40">
        <f>SUM(G36,G41)</f>
        <v>-24</v>
      </c>
      <c r="H52" s="40">
        <f>SUM(H36,H41)</f>
        <v>-24</v>
      </c>
      <c r="I52" s="40">
        <f>SUM(I36,I41)</f>
        <v>-24</v>
      </c>
      <c r="J52" s="40">
        <f>SUM(J36,J41)</f>
        <v>-24</v>
      </c>
    </row>
    <row r="53" spans="1:10" ht="34.5" customHeight="1">
      <c r="A53" s="78" t="s">
        <v>113</v>
      </c>
      <c r="B53" s="69"/>
      <c r="C53" s="116"/>
      <c r="D53" s="116"/>
      <c r="E53" s="320">
        <f t="shared" si="5"/>
        <v>0</v>
      </c>
      <c r="F53" s="116"/>
      <c r="G53" s="116"/>
      <c r="H53" s="116"/>
      <c r="I53" s="116"/>
      <c r="J53" s="117"/>
    </row>
    <row r="54" spans="1:10" ht="34.5" customHeight="1">
      <c r="A54" s="72" t="s">
        <v>264</v>
      </c>
      <c r="B54" s="73">
        <v>3300</v>
      </c>
      <c r="C54" s="40">
        <f>SUM(C55,C56,C57)</f>
        <v>2500</v>
      </c>
      <c r="D54" s="40">
        <f>SUM(D55,D56,D57)</f>
        <v>1917</v>
      </c>
      <c r="E54" s="40">
        <f>SUM(E55,E56,E57)</f>
        <v>1917</v>
      </c>
      <c r="F54" s="40">
        <f t="shared" si="10"/>
        <v>0</v>
      </c>
      <c r="G54" s="40">
        <f>SUM(G55,G56,G57)</f>
        <v>0</v>
      </c>
      <c r="H54" s="40">
        <f>SUM(H55,H56,H57)</f>
        <v>0</v>
      </c>
      <c r="I54" s="40">
        <f>SUM(I55,I56,I57)</f>
        <v>0</v>
      </c>
      <c r="J54" s="40">
        <f>SUM(J55,J56,J57)</f>
        <v>0</v>
      </c>
    </row>
    <row r="55" spans="1:10" ht="33" customHeight="1">
      <c r="A55" s="315" t="s">
        <v>265</v>
      </c>
      <c r="B55" s="42">
        <v>3310</v>
      </c>
      <c r="C55" s="38" t="s">
        <v>519</v>
      </c>
      <c r="D55" s="38" t="s">
        <v>519</v>
      </c>
      <c r="E55" s="38" t="str">
        <f t="shared" si="5"/>
        <v>-</v>
      </c>
      <c r="F55" s="38">
        <f t="shared" si="10"/>
        <v>0</v>
      </c>
      <c r="G55" s="38">
        <f>'VII Статутн капіт'!G9</f>
        <v>0</v>
      </c>
      <c r="H55" s="38">
        <f>'VII Статутн капіт'!H9</f>
        <v>0</v>
      </c>
      <c r="I55" s="38">
        <f>'VII Статутн капіт'!I9</f>
        <v>0</v>
      </c>
      <c r="J55" s="38">
        <f>'VII Статутн капіт'!J9</f>
        <v>0</v>
      </c>
    </row>
    <row r="56" spans="1:10" ht="34.5" customHeight="1">
      <c r="A56" s="315" t="s">
        <v>386</v>
      </c>
      <c r="B56" s="42">
        <v>3320</v>
      </c>
      <c r="C56" s="38">
        <v>2500</v>
      </c>
      <c r="D56" s="38">
        <v>1917</v>
      </c>
      <c r="E56" s="38">
        <f t="shared" si="5"/>
        <v>1917</v>
      </c>
      <c r="F56" s="38">
        <f t="shared" si="10"/>
        <v>0</v>
      </c>
      <c r="G56" s="38"/>
      <c r="H56" s="38"/>
      <c r="I56" s="38"/>
      <c r="J56" s="38"/>
    </row>
    <row r="57" spans="1:10" ht="39" customHeight="1">
      <c r="A57" s="315" t="s">
        <v>373</v>
      </c>
      <c r="B57" s="42">
        <v>3330</v>
      </c>
      <c r="C57" s="38"/>
      <c r="D57" s="38"/>
      <c r="E57" s="40">
        <f t="shared" si="5"/>
        <v>0</v>
      </c>
      <c r="F57" s="38">
        <f t="shared" si="10"/>
        <v>0</v>
      </c>
      <c r="G57" s="38"/>
      <c r="H57" s="38"/>
      <c r="I57" s="38"/>
      <c r="J57" s="38"/>
    </row>
    <row r="58" spans="1:10" ht="34.5" customHeight="1">
      <c r="A58" s="72" t="s">
        <v>266</v>
      </c>
      <c r="B58" s="73">
        <v>3345</v>
      </c>
      <c r="C58" s="40">
        <f>SUM(C59,C60,C61,C62,C63)</f>
        <v>-11074</v>
      </c>
      <c r="D58" s="40">
        <f t="shared" ref="D58:J58" si="11">SUM(D59,D60,D61,D62,D63)</f>
        <v>-7770</v>
      </c>
      <c r="E58" s="40">
        <f t="shared" si="11"/>
        <v>-7100</v>
      </c>
      <c r="F58" s="40">
        <f t="shared" si="10"/>
        <v>-4189</v>
      </c>
      <c r="G58" s="40">
        <f t="shared" si="11"/>
        <v>-1221</v>
      </c>
      <c r="H58" s="40">
        <f t="shared" si="11"/>
        <v>-1003</v>
      </c>
      <c r="I58" s="40">
        <f t="shared" si="11"/>
        <v>-996</v>
      </c>
      <c r="J58" s="40">
        <f t="shared" si="11"/>
        <v>-969</v>
      </c>
    </row>
    <row r="59" spans="1:10" ht="39.75" customHeight="1">
      <c r="A59" s="315" t="s">
        <v>267</v>
      </c>
      <c r="B59" s="42">
        <v>3350</v>
      </c>
      <c r="C59" s="38" t="s">
        <v>197</v>
      </c>
      <c r="D59" s="38" t="s">
        <v>197</v>
      </c>
      <c r="E59" s="38" t="str">
        <f t="shared" si="5"/>
        <v>(    )</v>
      </c>
      <c r="F59" s="38">
        <f>SUM(G59:J59)</f>
        <v>0</v>
      </c>
      <c r="G59" s="38" t="s">
        <v>197</v>
      </c>
      <c r="H59" s="38" t="s">
        <v>197</v>
      </c>
      <c r="I59" s="38" t="s">
        <v>197</v>
      </c>
      <c r="J59" s="38" t="s">
        <v>197</v>
      </c>
    </row>
    <row r="60" spans="1:10" ht="39.75" customHeight="1">
      <c r="A60" s="315" t="s">
        <v>387</v>
      </c>
      <c r="B60" s="42">
        <v>3360</v>
      </c>
      <c r="C60" s="38">
        <v>-9782</v>
      </c>
      <c r="D60" s="38">
        <v>-6282</v>
      </c>
      <c r="E60" s="38">
        <v>-5612</v>
      </c>
      <c r="F60" s="38">
        <f t="shared" si="10"/>
        <v>-3249</v>
      </c>
      <c r="G60" s="38">
        <f>-кредити!AJ94/1000</f>
        <v>-807</v>
      </c>
      <c r="H60" s="38">
        <f>-кредити!AJ98/1000</f>
        <v>-814</v>
      </c>
      <c r="I60" s="38">
        <f>-кредити!AJ102/1000</f>
        <v>-821</v>
      </c>
      <c r="J60" s="38">
        <f>-кредити!AJ106/1000-169</f>
        <v>-807</v>
      </c>
    </row>
    <row r="61" spans="1:10" ht="39.75" customHeight="1">
      <c r="A61" s="315" t="s">
        <v>388</v>
      </c>
      <c r="B61" s="42">
        <v>3370</v>
      </c>
      <c r="C61" s="38">
        <v>-459</v>
      </c>
      <c r="D61" s="38">
        <v>-927</v>
      </c>
      <c r="E61" s="38">
        <f t="shared" si="5"/>
        <v>-927</v>
      </c>
      <c r="F61" s="38">
        <f>SUM(G61:J61)</f>
        <v>-691</v>
      </c>
      <c r="G61" s="38">
        <v>-331</v>
      </c>
      <c r="H61" s="38">
        <f>-'ІІ. Розр. з бюджетом'!G33</f>
        <v>-119</v>
      </c>
      <c r="I61" s="38">
        <f>-'ІІ. Розр. з бюджетом'!H33</f>
        <v>-120</v>
      </c>
      <c r="J61" s="38">
        <f>-'ІІ. Розр. з бюджетом'!I33</f>
        <v>-121</v>
      </c>
    </row>
    <row r="62" spans="1:10" ht="39.75" customHeight="1">
      <c r="A62" s="315" t="s">
        <v>389</v>
      </c>
      <c r="B62" s="42">
        <v>3380</v>
      </c>
      <c r="C62" s="38">
        <v>-833</v>
      </c>
      <c r="D62" s="38">
        <v>-561</v>
      </c>
      <c r="E62" s="38">
        <f t="shared" si="5"/>
        <v>-561</v>
      </c>
      <c r="F62" s="38">
        <f>SUM(G62:J62)</f>
        <v>-249</v>
      </c>
      <c r="G62" s="38">
        <f>'I. Фін результат'!G63</f>
        <v>-83</v>
      </c>
      <c r="H62" s="38">
        <f>'I. Фін результат'!H63</f>
        <v>-70</v>
      </c>
      <c r="I62" s="38">
        <f>'I. Фін результат'!I63</f>
        <v>-55</v>
      </c>
      <c r="J62" s="38">
        <f>'I. Фін результат'!J63</f>
        <v>-41</v>
      </c>
    </row>
    <row r="63" spans="1:10" ht="39.75" customHeight="1">
      <c r="A63" s="315" t="s">
        <v>307</v>
      </c>
      <c r="B63" s="42">
        <v>3390</v>
      </c>
      <c r="C63" s="38" t="s">
        <v>197</v>
      </c>
      <c r="D63" s="38" t="s">
        <v>197</v>
      </c>
      <c r="E63" s="38" t="str">
        <f t="shared" si="5"/>
        <v>(    )</v>
      </c>
      <c r="F63" s="38">
        <f>SUM(G63:J63)</f>
        <v>0</v>
      </c>
      <c r="G63" s="38" t="s">
        <v>197</v>
      </c>
      <c r="H63" s="38" t="s">
        <v>197</v>
      </c>
      <c r="I63" s="38" t="s">
        <v>197</v>
      </c>
      <c r="J63" s="38" t="s">
        <v>197</v>
      </c>
    </row>
    <row r="64" spans="1:10" ht="31.5" customHeight="1">
      <c r="A64" s="72" t="s">
        <v>114</v>
      </c>
      <c r="B64" s="73">
        <v>3395</v>
      </c>
      <c r="C64" s="40">
        <f>SUM(C54,C58)</f>
        <v>-8574</v>
      </c>
      <c r="D64" s="40">
        <f>SUM(D54,D58)</f>
        <v>-5853</v>
      </c>
      <c r="E64" s="40">
        <f>SUM(E54,E58)</f>
        <v>-5183</v>
      </c>
      <c r="F64" s="40">
        <f>SUM(G64:J64)</f>
        <v>-4189</v>
      </c>
      <c r="G64" s="40">
        <f>SUM(G54,G58)</f>
        <v>-1221</v>
      </c>
      <c r="H64" s="40">
        <f>SUM(H54,H58)</f>
        <v>-1003</v>
      </c>
      <c r="I64" s="40">
        <f>SUM(I54,I58)</f>
        <v>-996</v>
      </c>
      <c r="J64" s="40">
        <f>SUM(J54,J58)</f>
        <v>-969</v>
      </c>
    </row>
    <row r="65" spans="1:10" ht="30" customHeight="1">
      <c r="A65" s="72" t="s">
        <v>28</v>
      </c>
      <c r="B65" s="73">
        <v>3400</v>
      </c>
      <c r="C65" s="40">
        <f t="shared" ref="C65:J65" si="12">SUM(C34,C52,C64)</f>
        <v>60</v>
      </c>
      <c r="D65" s="40">
        <f t="shared" si="12"/>
        <v>-125</v>
      </c>
      <c r="E65" s="40">
        <f t="shared" si="12"/>
        <v>-125</v>
      </c>
      <c r="F65" s="40">
        <f t="shared" si="12"/>
        <v>23</v>
      </c>
      <c r="G65" s="40">
        <f t="shared" si="12"/>
        <v>9</v>
      </c>
      <c r="H65" s="40">
        <f t="shared" si="12"/>
        <v>0</v>
      </c>
      <c r="I65" s="40">
        <f t="shared" si="12"/>
        <v>5</v>
      </c>
      <c r="J65" s="40">
        <f t="shared" si="12"/>
        <v>9</v>
      </c>
    </row>
    <row r="66" spans="1:10" ht="37.5" customHeight="1">
      <c r="A66" s="315" t="s">
        <v>390</v>
      </c>
      <c r="B66" s="42">
        <v>3405</v>
      </c>
      <c r="C66" s="38">
        <v>580</v>
      </c>
      <c r="D66" s="38">
        <v>175</v>
      </c>
      <c r="E66" s="38">
        <f>C68</f>
        <v>640</v>
      </c>
      <c r="F66" s="38">
        <f>E68</f>
        <v>515</v>
      </c>
      <c r="G66" s="38">
        <f>F66</f>
        <v>515</v>
      </c>
      <c r="H66" s="38">
        <f>G68</f>
        <v>524</v>
      </c>
      <c r="I66" s="38">
        <f>H68</f>
        <v>524</v>
      </c>
      <c r="J66" s="38">
        <f>I68</f>
        <v>529</v>
      </c>
    </row>
    <row r="67" spans="1:10" ht="34.5" customHeight="1">
      <c r="A67" s="315" t="s">
        <v>116</v>
      </c>
      <c r="B67" s="42">
        <v>3410</v>
      </c>
      <c r="C67" s="38"/>
      <c r="D67" s="38"/>
      <c r="E67" s="38"/>
      <c r="F67" s="38">
        <f>SUM(G67:J67)</f>
        <v>0</v>
      </c>
      <c r="G67" s="38"/>
      <c r="H67" s="38"/>
      <c r="I67" s="38"/>
      <c r="J67" s="38"/>
    </row>
    <row r="68" spans="1:10" ht="36" customHeight="1">
      <c r="A68" s="315" t="s">
        <v>391</v>
      </c>
      <c r="B68" s="42">
        <v>3415</v>
      </c>
      <c r="C68" s="38">
        <f>SUM(C66,C65,C67)</f>
        <v>640</v>
      </c>
      <c r="D68" s="38">
        <f t="shared" ref="D68:J68" si="13">SUM(D66,D65,D67)</f>
        <v>50</v>
      </c>
      <c r="E68" s="38">
        <f t="shared" si="13"/>
        <v>515</v>
      </c>
      <c r="F68" s="38">
        <f t="shared" si="13"/>
        <v>538</v>
      </c>
      <c r="G68" s="38">
        <f t="shared" si="13"/>
        <v>524</v>
      </c>
      <c r="H68" s="38">
        <f t="shared" si="13"/>
        <v>524</v>
      </c>
      <c r="I68" s="38">
        <f t="shared" si="13"/>
        <v>529</v>
      </c>
      <c r="J68" s="38">
        <f t="shared" si="13"/>
        <v>538</v>
      </c>
    </row>
    <row r="69" spans="1:10" s="356" customFormat="1" ht="53.25" customHeight="1">
      <c r="A69" s="28"/>
      <c r="B69" s="74"/>
      <c r="C69" s="75"/>
      <c r="D69" s="76"/>
      <c r="E69" s="76"/>
      <c r="F69" s="77"/>
      <c r="G69" s="76"/>
      <c r="H69" s="76"/>
      <c r="I69" s="76"/>
      <c r="J69" s="76"/>
    </row>
    <row r="70" spans="1:10" s="252" customFormat="1" ht="34.5" customHeight="1">
      <c r="A70" s="317" t="s">
        <v>525</v>
      </c>
      <c r="B70" s="57"/>
      <c r="C70" s="521" t="s">
        <v>84</v>
      </c>
      <c r="D70" s="522"/>
      <c r="E70" s="522"/>
      <c r="F70" s="522"/>
      <c r="G70" s="251"/>
      <c r="H70" s="523" t="s">
        <v>702</v>
      </c>
      <c r="I70" s="523"/>
      <c r="J70" s="523"/>
    </row>
    <row r="71" spans="1:10" s="257" customFormat="1" ht="36" customHeight="1">
      <c r="A71" s="307" t="s">
        <v>365</v>
      </c>
      <c r="B71" s="255"/>
      <c r="C71" s="570" t="s">
        <v>69</v>
      </c>
      <c r="D71" s="570"/>
      <c r="E71" s="570"/>
      <c r="F71" s="570"/>
      <c r="G71" s="256"/>
      <c r="H71" s="563" t="s">
        <v>82</v>
      </c>
      <c r="I71" s="563"/>
      <c r="J71" s="563"/>
    </row>
    <row r="72" spans="1:10">
      <c r="C72" s="299"/>
    </row>
    <row r="73" spans="1:10">
      <c r="C73" s="299"/>
    </row>
    <row r="74" spans="1:10">
      <c r="C74" s="64"/>
      <c r="D74" s="64"/>
      <c r="E74" s="64"/>
      <c r="F74" s="68"/>
      <c r="G74" s="68"/>
      <c r="H74" s="68"/>
      <c r="I74" s="68"/>
      <c r="J74" s="68"/>
    </row>
    <row r="75" spans="1:10">
      <c r="C75" s="64"/>
      <c r="D75" s="64"/>
      <c r="E75" s="64"/>
      <c r="F75" s="426"/>
      <c r="G75" s="68"/>
      <c r="H75" s="68"/>
      <c r="I75" s="68"/>
      <c r="J75" s="68"/>
    </row>
    <row r="76" spans="1:10">
      <c r="C76" s="425"/>
      <c r="D76" s="425"/>
      <c r="E76" s="425"/>
      <c r="F76" s="427"/>
      <c r="G76" s="425"/>
      <c r="H76" s="425"/>
      <c r="I76" s="425"/>
      <c r="J76" s="425"/>
    </row>
    <row r="77" spans="1:10">
      <c r="C77" s="299"/>
    </row>
    <row r="78" spans="1:10">
      <c r="C78" s="435"/>
      <c r="D78" s="435"/>
      <c r="E78" s="435"/>
      <c r="F78" s="435"/>
      <c r="G78" s="435"/>
      <c r="H78" s="435"/>
      <c r="I78" s="435"/>
      <c r="J78" s="435"/>
    </row>
    <row r="79" spans="1:10">
      <c r="C79" s="425"/>
      <c r="D79" s="425"/>
      <c r="E79" s="425"/>
      <c r="F79" s="425"/>
      <c r="G79" s="425"/>
      <c r="H79" s="425"/>
      <c r="I79" s="425"/>
      <c r="J79" s="425"/>
    </row>
    <row r="81" spans="3:10">
      <c r="C81" s="299"/>
    </row>
    <row r="82" spans="3:10">
      <c r="C82" s="425"/>
      <c r="D82" s="425"/>
      <c r="E82" s="425"/>
      <c r="F82" s="425"/>
      <c r="G82" s="425"/>
      <c r="H82" s="425"/>
      <c r="I82" s="425"/>
      <c r="J82" s="425"/>
    </row>
    <row r="83" spans="3:10">
      <c r="C83" s="299"/>
    </row>
    <row r="84" spans="3:10">
      <c r="C84" s="299"/>
    </row>
    <row r="85" spans="3:10">
      <c r="C85" s="299"/>
    </row>
    <row r="86" spans="3:10">
      <c r="C86" s="299"/>
    </row>
    <row r="87" spans="3:10">
      <c r="C87" s="299"/>
    </row>
    <row r="88" spans="3:10">
      <c r="C88" s="299"/>
    </row>
    <row r="89" spans="3:10">
      <c r="C89" s="299"/>
    </row>
    <row r="90" spans="3:10">
      <c r="C90" s="299"/>
    </row>
    <row r="91" spans="3:10">
      <c r="C91" s="299"/>
    </row>
    <row r="92" spans="3:10">
      <c r="C92" s="299"/>
    </row>
    <row r="93" spans="3:10">
      <c r="C93" s="299"/>
    </row>
    <row r="94" spans="3:10">
      <c r="C94" s="299"/>
    </row>
    <row r="95" spans="3:10">
      <c r="C95" s="299"/>
    </row>
    <row r="96" spans="3:10">
      <c r="C96" s="299"/>
    </row>
    <row r="97" spans="3:3">
      <c r="C97" s="299"/>
    </row>
    <row r="98" spans="3:3">
      <c r="C98" s="299"/>
    </row>
    <row r="99" spans="3:3">
      <c r="C99" s="299"/>
    </row>
    <row r="100" spans="3:3">
      <c r="C100" s="299"/>
    </row>
    <row r="101" spans="3:3">
      <c r="C101" s="299"/>
    </row>
    <row r="102" spans="3:3">
      <c r="C102" s="299"/>
    </row>
  </sheetData>
  <sheetProtection algorithmName="SHA-512" hashValue="gA4XxJIdXhHut2k8P4ujA5pCB/8kZzP6ibf/E/1lgZTB+RWLQ5irStifeSs7OJanESTC4gtns7i7zTEwymBWkw==" saltValue="rJbcIPGg46XDN40Qh8cptA==" spinCount="100000" sheet="1" objects="1" scenarios="1" selectLockedCells="1" selectUnlockedCells="1"/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31496062992125984" footer="0.51181102362204722"/>
  <pageSetup paperSize="9" scale="57" orientation="landscape" r:id="rId1"/>
  <headerFooter alignWithMargins="0"/>
  <ignoredErrors>
    <ignoredError sqref="F18 F34 F36 F52 F56 F60 F54 F6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3"/>
  <sheetViews>
    <sheetView view="pageBreakPreview" topLeftCell="A7" zoomScale="75" zoomScaleNormal="100" zoomScaleSheetLayoutView="75" workbookViewId="0">
      <selection activeCell="M13" sqref="M13"/>
    </sheetView>
  </sheetViews>
  <sheetFormatPr defaultColWidth="9.109375" defaultRowHeight="18"/>
  <cols>
    <col min="1" max="1" width="85" style="16" customWidth="1"/>
    <col min="2" max="2" width="14.6640625" style="247" customWidth="1"/>
    <col min="3" max="3" width="17.44140625" style="247" customWidth="1"/>
    <col min="4" max="4" width="17" style="247" customWidth="1"/>
    <col min="5" max="5" width="18.88671875" style="247" customWidth="1"/>
    <col min="6" max="6" width="17" style="247" customWidth="1"/>
    <col min="7" max="10" width="15.44140625" style="16" customWidth="1"/>
    <col min="11" max="16384" width="9.109375" style="16"/>
  </cols>
  <sheetData>
    <row r="1" spans="1:10" ht="22.8">
      <c r="A1" s="538" t="s">
        <v>407</v>
      </c>
      <c r="B1" s="538"/>
      <c r="C1" s="538"/>
      <c r="D1" s="538"/>
      <c r="E1" s="538"/>
      <c r="F1" s="538"/>
      <c r="G1" s="538"/>
      <c r="H1" s="538"/>
    </row>
    <row r="2" spans="1:10">
      <c r="A2" s="339"/>
      <c r="B2" s="259"/>
      <c r="C2" s="339"/>
      <c r="D2" s="339"/>
      <c r="E2" s="339"/>
      <c r="F2" s="259"/>
      <c r="G2" s="339"/>
      <c r="H2" s="339"/>
      <c r="J2" s="16" t="s">
        <v>403</v>
      </c>
    </row>
    <row r="3" spans="1:10" ht="41.25" customHeight="1">
      <c r="A3" s="582" t="s">
        <v>164</v>
      </c>
      <c r="B3" s="546" t="s">
        <v>17</v>
      </c>
      <c r="C3" s="546" t="s">
        <v>673</v>
      </c>
      <c r="D3" s="546" t="s">
        <v>674</v>
      </c>
      <c r="E3" s="544" t="s">
        <v>675</v>
      </c>
      <c r="F3" s="551" t="s">
        <v>676</v>
      </c>
      <c r="G3" s="551" t="s">
        <v>329</v>
      </c>
      <c r="H3" s="551"/>
      <c r="I3" s="551"/>
      <c r="J3" s="551"/>
    </row>
    <row r="4" spans="1:10" ht="63" customHeight="1">
      <c r="A4" s="583"/>
      <c r="B4" s="547"/>
      <c r="C4" s="547"/>
      <c r="D4" s="547"/>
      <c r="E4" s="545"/>
      <c r="F4" s="551"/>
      <c r="G4" s="440" t="s">
        <v>126</v>
      </c>
      <c r="H4" s="440" t="s">
        <v>127</v>
      </c>
      <c r="I4" s="440" t="s">
        <v>128</v>
      </c>
      <c r="J4" s="440" t="s">
        <v>63</v>
      </c>
    </row>
    <row r="5" spans="1:10" ht="23.25" customHeight="1">
      <c r="A5" s="444">
        <v>1</v>
      </c>
      <c r="B5" s="443">
        <v>2</v>
      </c>
      <c r="C5" s="443">
        <v>3</v>
      </c>
      <c r="D5" s="443">
        <v>4</v>
      </c>
      <c r="E5" s="443">
        <v>5</v>
      </c>
      <c r="F5" s="443">
        <v>6</v>
      </c>
      <c r="G5" s="443">
        <v>7</v>
      </c>
      <c r="H5" s="443">
        <v>8</v>
      </c>
      <c r="I5" s="444">
        <v>9</v>
      </c>
      <c r="J5" s="444">
        <v>10</v>
      </c>
    </row>
    <row r="6" spans="1:10" ht="36" customHeight="1">
      <c r="A6" s="454" t="s">
        <v>110</v>
      </c>
      <c r="B6" s="451"/>
      <c r="C6" s="457"/>
      <c r="D6" s="457"/>
      <c r="E6" s="457"/>
      <c r="F6" s="457"/>
      <c r="G6" s="457"/>
      <c r="H6" s="457"/>
      <c r="I6" s="458"/>
      <c r="J6" s="458"/>
    </row>
    <row r="7" spans="1:10" ht="31.5" customHeight="1">
      <c r="A7" s="459" t="s">
        <v>410</v>
      </c>
      <c r="B7" s="272"/>
      <c r="C7" s="460"/>
      <c r="D7" s="460"/>
      <c r="E7" s="460"/>
      <c r="F7" s="460"/>
      <c r="G7" s="460"/>
      <c r="H7" s="460"/>
      <c r="I7" s="461"/>
      <c r="J7" s="461"/>
    </row>
    <row r="8" spans="1:10" ht="39.75" hidden="1" customHeight="1">
      <c r="A8" s="328" t="s">
        <v>416</v>
      </c>
      <c r="B8" s="451">
        <v>3030</v>
      </c>
      <c r="C8" s="457"/>
      <c r="D8" s="457"/>
      <c r="E8" s="457">
        <f>D8</f>
        <v>0</v>
      </c>
      <c r="F8" s="457">
        <f t="shared" ref="F8:F9" si="0">SUM(G8:J8)</f>
        <v>0</v>
      </c>
      <c r="G8" s="457"/>
      <c r="H8" s="457"/>
      <c r="I8" s="458"/>
      <c r="J8" s="458"/>
    </row>
    <row r="9" spans="1:10" ht="49.5" hidden="1" customHeight="1">
      <c r="A9" s="328"/>
      <c r="B9" s="451"/>
      <c r="C9" s="457"/>
      <c r="D9" s="457"/>
      <c r="E9" s="457">
        <f t="shared" ref="E9:E63" si="1">D9</f>
        <v>0</v>
      </c>
      <c r="F9" s="457">
        <f t="shared" si="0"/>
        <v>0</v>
      </c>
      <c r="G9" s="457"/>
      <c r="H9" s="457"/>
      <c r="I9" s="458"/>
      <c r="J9" s="458"/>
    </row>
    <row r="10" spans="1:10" ht="30" customHeight="1">
      <c r="A10" s="462" t="s">
        <v>417</v>
      </c>
      <c r="B10" s="451">
        <v>3080</v>
      </c>
      <c r="C10" s="463">
        <f>SUM(C11:C15)</f>
        <v>374</v>
      </c>
      <c r="D10" s="463">
        <f>SUM(D14:D15)</f>
        <v>0</v>
      </c>
      <c r="E10" s="463">
        <f t="shared" si="1"/>
        <v>0</v>
      </c>
      <c r="F10" s="463">
        <f>SUM(G10:J10)</f>
        <v>0</v>
      </c>
      <c r="G10" s="463">
        <f>SUM(G14:G15)</f>
        <v>0</v>
      </c>
      <c r="H10" s="463">
        <f>SUM(H14:H15)</f>
        <v>0</v>
      </c>
      <c r="I10" s="463">
        <f>SUM(I14:I15)</f>
        <v>0</v>
      </c>
      <c r="J10" s="463">
        <f>SUM(J14:J15)</f>
        <v>0</v>
      </c>
    </row>
    <row r="11" spans="1:10" ht="25.5" customHeight="1">
      <c r="A11" s="328" t="s">
        <v>624</v>
      </c>
      <c r="B11" s="451"/>
      <c r="C11" s="457">
        <v>65</v>
      </c>
      <c r="D11" s="463"/>
      <c r="E11" s="463"/>
      <c r="F11" s="463"/>
      <c r="G11" s="463"/>
      <c r="H11" s="463"/>
      <c r="I11" s="463"/>
      <c r="J11" s="463"/>
    </row>
    <row r="12" spans="1:10" ht="25.5" hidden="1" customHeight="1">
      <c r="A12" s="328" t="s">
        <v>625</v>
      </c>
      <c r="B12" s="451"/>
      <c r="C12" s="457"/>
      <c r="D12" s="463"/>
      <c r="E12" s="463"/>
      <c r="F12" s="463"/>
      <c r="G12" s="463"/>
      <c r="H12" s="463"/>
      <c r="I12" s="463"/>
      <c r="J12" s="463"/>
    </row>
    <row r="13" spans="1:10" ht="25.5" customHeight="1">
      <c r="A13" s="328" t="s">
        <v>678</v>
      </c>
      <c r="B13" s="451"/>
      <c r="C13" s="457">
        <v>29</v>
      </c>
      <c r="D13" s="463"/>
      <c r="E13" s="463"/>
      <c r="F13" s="463"/>
      <c r="G13" s="463"/>
      <c r="H13" s="463"/>
      <c r="I13" s="463"/>
      <c r="J13" s="463"/>
    </row>
    <row r="14" spans="1:10" ht="23.25" customHeight="1">
      <c r="A14" s="331" t="s">
        <v>667</v>
      </c>
      <c r="B14" s="451"/>
      <c r="C14" s="457">
        <v>280</v>
      </c>
      <c r="D14" s="457"/>
      <c r="E14" s="457">
        <f t="shared" si="1"/>
        <v>0</v>
      </c>
      <c r="F14" s="457">
        <f t="shared" ref="F14:F64" si="2">SUM(G14:J14)</f>
        <v>0</v>
      </c>
      <c r="G14" s="457"/>
      <c r="H14" s="457"/>
      <c r="I14" s="458"/>
      <c r="J14" s="458"/>
    </row>
    <row r="15" spans="1:10" ht="42" hidden="1" customHeight="1">
      <c r="A15" s="464" t="s">
        <v>434</v>
      </c>
      <c r="B15" s="451"/>
      <c r="C15" s="458"/>
      <c r="D15" s="457"/>
      <c r="E15" s="457">
        <f t="shared" si="1"/>
        <v>0</v>
      </c>
      <c r="F15" s="457">
        <f t="shared" si="2"/>
        <v>0</v>
      </c>
      <c r="G15" s="457"/>
      <c r="H15" s="457"/>
      <c r="I15" s="458"/>
      <c r="J15" s="458"/>
    </row>
    <row r="16" spans="1:10" ht="28.5" hidden="1" customHeight="1">
      <c r="A16" s="465" t="s">
        <v>253</v>
      </c>
      <c r="B16" s="451"/>
      <c r="C16" s="458"/>
      <c r="D16" s="457"/>
      <c r="E16" s="457"/>
      <c r="F16" s="457"/>
      <c r="G16" s="457"/>
      <c r="H16" s="457"/>
      <c r="I16" s="458"/>
      <c r="J16" s="458"/>
    </row>
    <row r="17" spans="1:10" s="343" customFormat="1" ht="30" hidden="1" customHeight="1">
      <c r="A17" s="462" t="s">
        <v>245</v>
      </c>
      <c r="B17" s="451">
        <v>3160</v>
      </c>
      <c r="C17" s="463">
        <f>SUM(C18:C22)</f>
        <v>-109</v>
      </c>
      <c r="D17" s="463">
        <f>SUM(D24:D25)</f>
        <v>0</v>
      </c>
      <c r="E17" s="463">
        <f t="shared" ref="E17" si="3">D17</f>
        <v>0</v>
      </c>
      <c r="F17" s="463">
        <f>SUM(G17:J17)</f>
        <v>0</v>
      </c>
      <c r="G17" s="463">
        <f>SUM(G24:G25)</f>
        <v>0</v>
      </c>
      <c r="H17" s="463">
        <f>SUM(H24:H25)</f>
        <v>0</v>
      </c>
      <c r="I17" s="463">
        <f>SUM(I24:I25)</f>
        <v>0</v>
      </c>
      <c r="J17" s="463">
        <f>SUM(J24:J25)</f>
        <v>0</v>
      </c>
    </row>
    <row r="18" spans="1:10" ht="24" hidden="1" customHeight="1">
      <c r="A18" s="328" t="s">
        <v>558</v>
      </c>
      <c r="B18" s="451"/>
      <c r="C18" s="457">
        <v>-109</v>
      </c>
      <c r="D18" s="463"/>
      <c r="E18" s="463"/>
      <c r="F18" s="463"/>
      <c r="G18" s="463"/>
      <c r="H18" s="463"/>
      <c r="I18" s="463"/>
      <c r="J18" s="463"/>
    </row>
    <row r="19" spans="1:10" ht="21" hidden="1" customHeight="1">
      <c r="A19" s="328" t="s">
        <v>511</v>
      </c>
      <c r="B19" s="451"/>
      <c r="C19" s="457"/>
      <c r="D19" s="463"/>
      <c r="E19" s="463"/>
      <c r="F19" s="463"/>
      <c r="G19" s="463"/>
      <c r="H19" s="463"/>
      <c r="I19" s="463"/>
      <c r="J19" s="463"/>
    </row>
    <row r="20" spans="1:10" ht="21" hidden="1" customHeight="1">
      <c r="A20" s="328" t="s">
        <v>512</v>
      </c>
      <c r="B20" s="451"/>
      <c r="C20" s="457"/>
      <c r="D20" s="463"/>
      <c r="E20" s="463"/>
      <c r="F20" s="463"/>
      <c r="G20" s="463"/>
      <c r="H20" s="463"/>
      <c r="I20" s="463"/>
      <c r="J20" s="463"/>
    </row>
    <row r="21" spans="1:10" ht="21" hidden="1" customHeight="1">
      <c r="A21" s="328" t="s">
        <v>628</v>
      </c>
      <c r="B21" s="451"/>
      <c r="C21" s="457"/>
      <c r="D21" s="463"/>
      <c r="E21" s="463"/>
      <c r="F21" s="463"/>
      <c r="G21" s="463"/>
      <c r="H21" s="463"/>
      <c r="I21" s="463"/>
      <c r="J21" s="463"/>
    </row>
    <row r="22" spans="1:10" ht="21" hidden="1" customHeight="1">
      <c r="A22" s="328" t="s">
        <v>513</v>
      </c>
      <c r="B22" s="451"/>
      <c r="C22" s="457"/>
      <c r="D22" s="463"/>
      <c r="E22" s="463"/>
      <c r="F22" s="463"/>
      <c r="G22" s="463"/>
      <c r="H22" s="463"/>
      <c r="I22" s="463"/>
      <c r="J22" s="463"/>
    </row>
    <row r="23" spans="1:10" ht="32.25" customHeight="1">
      <c r="A23" s="454" t="s">
        <v>559</v>
      </c>
      <c r="B23" s="451"/>
      <c r="C23" s="457"/>
      <c r="D23" s="463"/>
      <c r="E23" s="463"/>
      <c r="F23" s="463"/>
      <c r="G23" s="463"/>
      <c r="H23" s="463"/>
      <c r="I23" s="463"/>
      <c r="J23" s="463"/>
    </row>
    <row r="24" spans="1:10" s="343" customFormat="1" ht="36.75" hidden="1" customHeight="1">
      <c r="A24" s="459" t="s">
        <v>260</v>
      </c>
      <c r="B24" s="466"/>
      <c r="C24" s="467"/>
      <c r="D24" s="467"/>
      <c r="E24" s="457">
        <f t="shared" si="1"/>
        <v>0</v>
      </c>
      <c r="F24" s="457">
        <f t="shared" si="2"/>
        <v>0</v>
      </c>
      <c r="G24" s="467"/>
      <c r="H24" s="467"/>
      <c r="I24" s="467"/>
      <c r="J24" s="467"/>
    </row>
    <row r="25" spans="1:10" s="343" customFormat="1" ht="40.5" hidden="1" customHeight="1">
      <c r="A25" s="328" t="s">
        <v>417</v>
      </c>
      <c r="B25" s="56">
        <v>3240</v>
      </c>
      <c r="C25" s="463"/>
      <c r="D25" s="463"/>
      <c r="E25" s="463">
        <f t="shared" si="1"/>
        <v>0</v>
      </c>
      <c r="F25" s="463">
        <f t="shared" si="2"/>
        <v>0</v>
      </c>
      <c r="G25" s="463"/>
      <c r="H25" s="463"/>
      <c r="I25" s="463"/>
      <c r="J25" s="463"/>
    </row>
    <row r="26" spans="1:10" s="343" customFormat="1" ht="30.75" customHeight="1">
      <c r="A26" s="459" t="s">
        <v>263</v>
      </c>
      <c r="B26" s="466">
        <v>3255</v>
      </c>
      <c r="C26" s="467">
        <f>C27</f>
        <v>-1744</v>
      </c>
      <c r="D26" s="467">
        <f t="shared" ref="D26:J26" si="4">D27</f>
        <v>-144</v>
      </c>
      <c r="E26" s="467">
        <f t="shared" si="4"/>
        <v>-144</v>
      </c>
      <c r="F26" s="467">
        <f t="shared" si="4"/>
        <v>-96</v>
      </c>
      <c r="G26" s="467">
        <f t="shared" si="4"/>
        <v>-24</v>
      </c>
      <c r="H26" s="467">
        <f t="shared" si="4"/>
        <v>-24</v>
      </c>
      <c r="I26" s="467">
        <f t="shared" si="4"/>
        <v>-24</v>
      </c>
      <c r="J26" s="467">
        <f t="shared" si="4"/>
        <v>-24</v>
      </c>
    </row>
    <row r="27" spans="1:10" s="343" customFormat="1" ht="42.75" customHeight="1">
      <c r="A27" s="72" t="s">
        <v>381</v>
      </c>
      <c r="B27" s="56">
        <v>3270</v>
      </c>
      <c r="C27" s="463">
        <f t="shared" ref="C27:J27" si="5">C28+C30+C49+C52+C55</f>
        <v>-1744</v>
      </c>
      <c r="D27" s="463">
        <f t="shared" si="5"/>
        <v>-144</v>
      </c>
      <c r="E27" s="463">
        <f t="shared" si="5"/>
        <v>-144</v>
      </c>
      <c r="F27" s="463">
        <f t="shared" si="5"/>
        <v>-96</v>
      </c>
      <c r="G27" s="463">
        <f t="shared" si="5"/>
        <v>-24</v>
      </c>
      <c r="H27" s="463">
        <f t="shared" si="5"/>
        <v>-24</v>
      </c>
      <c r="I27" s="463">
        <f t="shared" si="5"/>
        <v>-24</v>
      </c>
      <c r="J27" s="463">
        <f t="shared" si="5"/>
        <v>-24</v>
      </c>
    </row>
    <row r="28" spans="1:10" s="343" customFormat="1" ht="29.25" hidden="1" customHeight="1">
      <c r="A28" s="72" t="s">
        <v>457</v>
      </c>
      <c r="B28" s="56">
        <v>3271</v>
      </c>
      <c r="C28" s="463">
        <f>C29</f>
        <v>0</v>
      </c>
      <c r="D28" s="460"/>
      <c r="E28" s="457">
        <f t="shared" si="1"/>
        <v>0</v>
      </c>
      <c r="F28" s="457">
        <f t="shared" si="2"/>
        <v>0</v>
      </c>
      <c r="G28" s="460"/>
      <c r="H28" s="460"/>
      <c r="I28" s="461"/>
      <c r="J28" s="461"/>
    </row>
    <row r="29" spans="1:10" s="343" customFormat="1" ht="29.25" hidden="1" customHeight="1">
      <c r="A29" s="79" t="s">
        <v>514</v>
      </c>
      <c r="B29" s="56"/>
      <c r="C29" s="457">
        <v>0</v>
      </c>
      <c r="D29" s="460"/>
      <c r="E29" s="457"/>
      <c r="F29" s="457"/>
      <c r="G29" s="460"/>
      <c r="H29" s="460"/>
      <c r="I29" s="461"/>
      <c r="J29" s="461"/>
    </row>
    <row r="30" spans="1:10" s="343" customFormat="1" ht="36" customHeight="1">
      <c r="A30" s="454" t="s">
        <v>418</v>
      </c>
      <c r="B30" s="56">
        <v>3272</v>
      </c>
      <c r="C30" s="463">
        <f>SUM(C31:C48)</f>
        <v>-699</v>
      </c>
      <c r="D30" s="463">
        <f t="shared" ref="D30:J30" si="6">SUM(D31:D48)</f>
        <v>-120</v>
      </c>
      <c r="E30" s="463">
        <f t="shared" si="6"/>
        <v>-120</v>
      </c>
      <c r="F30" s="463">
        <f t="shared" si="6"/>
        <v>0</v>
      </c>
      <c r="G30" s="463">
        <f t="shared" si="6"/>
        <v>0</v>
      </c>
      <c r="H30" s="463">
        <f t="shared" si="6"/>
        <v>0</v>
      </c>
      <c r="I30" s="463">
        <f t="shared" si="6"/>
        <v>0</v>
      </c>
      <c r="J30" s="463">
        <f t="shared" si="6"/>
        <v>0</v>
      </c>
    </row>
    <row r="31" spans="1:10" s="343" customFormat="1" ht="3" hidden="1" customHeight="1">
      <c r="A31" s="448" t="s">
        <v>560</v>
      </c>
      <c r="B31" s="56"/>
      <c r="C31" s="458"/>
      <c r="D31" s="457"/>
      <c r="E31" s="457">
        <f t="shared" si="1"/>
        <v>0</v>
      </c>
      <c r="F31" s="457">
        <f t="shared" si="2"/>
        <v>0</v>
      </c>
      <c r="G31" s="457"/>
      <c r="H31" s="457"/>
      <c r="I31" s="457"/>
      <c r="J31" s="457"/>
    </row>
    <row r="32" spans="1:10" s="343" customFormat="1" ht="23.25" customHeight="1">
      <c r="A32" s="448" t="s">
        <v>669</v>
      </c>
      <c r="B32" s="56"/>
      <c r="C32" s="458"/>
      <c r="D32" s="457">
        <v>-120</v>
      </c>
      <c r="E32" s="457">
        <f>D32</f>
        <v>-120</v>
      </c>
      <c r="F32" s="457">
        <f t="shared" si="2"/>
        <v>0</v>
      </c>
      <c r="G32" s="457"/>
      <c r="H32" s="457"/>
      <c r="I32" s="457"/>
      <c r="J32" s="457"/>
    </row>
    <row r="33" spans="1:10" s="343" customFormat="1" ht="20.25" hidden="1" customHeight="1">
      <c r="A33" s="452" t="s">
        <v>601</v>
      </c>
      <c r="B33" s="56"/>
      <c r="C33" s="458"/>
      <c r="D33" s="457"/>
      <c r="E33" s="457">
        <f t="shared" si="1"/>
        <v>0</v>
      </c>
      <c r="F33" s="457">
        <f t="shared" si="2"/>
        <v>0</v>
      </c>
      <c r="G33" s="457"/>
      <c r="H33" s="457"/>
      <c r="I33" s="458"/>
      <c r="J33" s="458"/>
    </row>
    <row r="34" spans="1:10" s="343" customFormat="1" ht="20.25" hidden="1" customHeight="1">
      <c r="A34" s="452" t="s">
        <v>435</v>
      </c>
      <c r="B34" s="56"/>
      <c r="C34" s="458"/>
      <c r="D34" s="457"/>
      <c r="E34" s="457">
        <f t="shared" si="1"/>
        <v>0</v>
      </c>
      <c r="F34" s="457">
        <f t="shared" si="2"/>
        <v>0</v>
      </c>
      <c r="G34" s="457"/>
      <c r="H34" s="457"/>
      <c r="I34" s="458"/>
      <c r="J34" s="458"/>
    </row>
    <row r="35" spans="1:10" s="343" customFormat="1" ht="20.25" hidden="1" customHeight="1">
      <c r="A35" s="331" t="s">
        <v>436</v>
      </c>
      <c r="B35" s="56"/>
      <c r="C35" s="458"/>
      <c r="D35" s="457"/>
      <c r="E35" s="457">
        <f t="shared" si="1"/>
        <v>0</v>
      </c>
      <c r="F35" s="457">
        <f t="shared" si="2"/>
        <v>0</v>
      </c>
      <c r="G35" s="457"/>
      <c r="H35" s="457"/>
      <c r="I35" s="458"/>
      <c r="J35" s="458"/>
    </row>
    <row r="36" spans="1:10" s="343" customFormat="1" ht="20.25" hidden="1" customHeight="1">
      <c r="A36" s="452" t="s">
        <v>437</v>
      </c>
      <c r="B36" s="56"/>
      <c r="C36" s="458"/>
      <c r="D36" s="457"/>
      <c r="E36" s="457">
        <f t="shared" si="1"/>
        <v>0</v>
      </c>
      <c r="F36" s="457">
        <f t="shared" si="2"/>
        <v>0</v>
      </c>
      <c r="G36" s="457"/>
      <c r="H36" s="457"/>
      <c r="I36" s="458"/>
      <c r="J36" s="458"/>
    </row>
    <row r="37" spans="1:10" s="343" customFormat="1" ht="20.25" hidden="1" customHeight="1">
      <c r="A37" s="452" t="s">
        <v>561</v>
      </c>
      <c r="B37" s="56"/>
      <c r="C37" s="458"/>
      <c r="D37" s="457"/>
      <c r="E37" s="457">
        <f t="shared" si="1"/>
        <v>0</v>
      </c>
      <c r="F37" s="457">
        <f t="shared" si="2"/>
        <v>0</v>
      </c>
      <c r="G37" s="457"/>
      <c r="H37" s="457"/>
      <c r="I37" s="458"/>
      <c r="J37" s="458"/>
    </row>
    <row r="38" spans="1:10" s="343" customFormat="1" ht="20.25" hidden="1" customHeight="1">
      <c r="A38" s="452" t="s">
        <v>562</v>
      </c>
      <c r="B38" s="56"/>
      <c r="C38" s="458"/>
      <c r="D38" s="457"/>
      <c r="E38" s="457">
        <f t="shared" si="1"/>
        <v>0</v>
      </c>
      <c r="F38" s="457">
        <f t="shared" si="2"/>
        <v>0</v>
      </c>
      <c r="G38" s="457"/>
      <c r="H38" s="457"/>
      <c r="I38" s="458"/>
      <c r="J38" s="458"/>
    </row>
    <row r="39" spans="1:10" s="343" customFormat="1" ht="20.25" hidden="1" customHeight="1">
      <c r="A39" s="468" t="s">
        <v>573</v>
      </c>
      <c r="B39" s="56"/>
      <c r="C39" s="469"/>
      <c r="D39" s="457"/>
      <c r="E39" s="457">
        <f t="shared" si="1"/>
        <v>0</v>
      </c>
      <c r="F39" s="457">
        <f t="shared" si="2"/>
        <v>0</v>
      </c>
      <c r="G39" s="457"/>
      <c r="H39" s="457"/>
      <c r="I39" s="458"/>
      <c r="J39" s="458"/>
    </row>
    <row r="40" spans="1:10" s="343" customFormat="1" ht="20.25" hidden="1" customHeight="1">
      <c r="A40" s="468" t="s">
        <v>563</v>
      </c>
      <c r="B40" s="56"/>
      <c r="C40" s="469"/>
      <c r="D40" s="457"/>
      <c r="E40" s="457">
        <f t="shared" si="1"/>
        <v>0</v>
      </c>
      <c r="F40" s="457">
        <f t="shared" si="2"/>
        <v>0</v>
      </c>
      <c r="G40" s="457"/>
      <c r="H40" s="457"/>
      <c r="I40" s="458"/>
      <c r="J40" s="458"/>
    </row>
    <row r="41" spans="1:10" s="343" customFormat="1" ht="20.25" hidden="1" customHeight="1">
      <c r="A41" s="468" t="s">
        <v>564</v>
      </c>
      <c r="B41" s="56"/>
      <c r="C41" s="469"/>
      <c r="D41" s="457"/>
      <c r="E41" s="457">
        <f t="shared" si="1"/>
        <v>0</v>
      </c>
      <c r="F41" s="457">
        <f t="shared" si="2"/>
        <v>0</v>
      </c>
      <c r="G41" s="457"/>
      <c r="H41" s="457"/>
      <c r="I41" s="458"/>
      <c r="J41" s="458"/>
    </row>
    <row r="42" spans="1:10" s="343" customFormat="1" ht="23.25" customHeight="1">
      <c r="A42" s="468" t="s">
        <v>681</v>
      </c>
      <c r="B42" s="56"/>
      <c r="C42" s="469">
        <v>-699</v>
      </c>
      <c r="D42" s="457"/>
      <c r="E42" s="457"/>
      <c r="F42" s="457">
        <f t="shared" si="2"/>
        <v>0</v>
      </c>
      <c r="G42" s="457"/>
      <c r="H42" s="457"/>
      <c r="I42" s="458"/>
      <c r="J42" s="458"/>
    </row>
    <row r="43" spans="1:10" s="343" customFormat="1" ht="20.25" hidden="1" customHeight="1">
      <c r="A43" s="468" t="s">
        <v>629</v>
      </c>
      <c r="B43" s="56"/>
      <c r="C43" s="469"/>
      <c r="D43" s="457"/>
      <c r="E43" s="457"/>
      <c r="F43" s="457">
        <f t="shared" si="2"/>
        <v>0</v>
      </c>
      <c r="G43" s="457"/>
      <c r="H43" s="457"/>
      <c r="I43" s="458"/>
      <c r="J43" s="458"/>
    </row>
    <row r="44" spans="1:10" s="343" customFormat="1" ht="20.25" hidden="1" customHeight="1">
      <c r="A44" s="468" t="s">
        <v>616</v>
      </c>
      <c r="B44" s="56"/>
      <c r="C44" s="469"/>
      <c r="D44" s="457"/>
      <c r="E44" s="457"/>
      <c r="F44" s="457">
        <f t="shared" si="2"/>
        <v>0</v>
      </c>
      <c r="G44" s="457"/>
      <c r="H44" s="457"/>
      <c r="I44" s="458"/>
      <c r="J44" s="458"/>
    </row>
    <row r="45" spans="1:10" s="343" customFormat="1" ht="20.25" hidden="1" customHeight="1">
      <c r="A45" s="452" t="s">
        <v>565</v>
      </c>
      <c r="B45" s="56"/>
      <c r="C45" s="458"/>
      <c r="D45" s="457"/>
      <c r="E45" s="457"/>
      <c r="F45" s="457">
        <f t="shared" si="2"/>
        <v>0</v>
      </c>
      <c r="G45" s="457"/>
      <c r="H45" s="457"/>
      <c r="I45" s="458"/>
      <c r="J45" s="458"/>
    </row>
    <row r="46" spans="1:10" s="343" customFormat="1" ht="20.25" hidden="1" customHeight="1">
      <c r="A46" s="452" t="s">
        <v>566</v>
      </c>
      <c r="B46" s="56"/>
      <c r="C46" s="458"/>
      <c r="D46" s="457"/>
      <c r="E46" s="457"/>
      <c r="F46" s="457">
        <f t="shared" si="2"/>
        <v>0</v>
      </c>
      <c r="G46" s="457"/>
      <c r="H46" s="457"/>
      <c r="I46" s="458"/>
      <c r="J46" s="458"/>
    </row>
    <row r="47" spans="1:10" s="343" customFormat="1" ht="20.25" hidden="1" customHeight="1">
      <c r="A47" s="452" t="s">
        <v>567</v>
      </c>
      <c r="B47" s="56"/>
      <c r="C47" s="457">
        <v>0</v>
      </c>
      <c r="D47" s="457"/>
      <c r="E47" s="457"/>
      <c r="F47" s="457">
        <f t="shared" si="2"/>
        <v>0</v>
      </c>
      <c r="G47" s="457"/>
      <c r="H47" s="457"/>
      <c r="I47" s="458"/>
      <c r="J47" s="458"/>
    </row>
    <row r="48" spans="1:10" s="343" customFormat="1" ht="20.25" hidden="1" customHeight="1">
      <c r="A48" s="452" t="s">
        <v>568</v>
      </c>
      <c r="B48" s="56"/>
      <c r="C48" s="457">
        <v>0</v>
      </c>
      <c r="D48" s="457"/>
      <c r="E48" s="457"/>
      <c r="F48" s="457">
        <f t="shared" si="2"/>
        <v>0</v>
      </c>
      <c r="G48" s="457"/>
      <c r="H48" s="457"/>
      <c r="I48" s="458"/>
      <c r="J48" s="458"/>
    </row>
    <row r="49" spans="1:10" s="343" customFormat="1" ht="44.25" customHeight="1">
      <c r="A49" s="454" t="s">
        <v>569</v>
      </c>
      <c r="B49" s="56">
        <v>3273</v>
      </c>
      <c r="C49" s="463">
        <f>C50+C54</f>
        <v>-1014</v>
      </c>
      <c r="D49" s="463">
        <f t="shared" ref="D49:F49" si="7">D50+D54</f>
        <v>-24</v>
      </c>
      <c r="E49" s="463">
        <f t="shared" si="7"/>
        <v>-24</v>
      </c>
      <c r="F49" s="463">
        <f t="shared" si="7"/>
        <v>-96</v>
      </c>
      <c r="G49" s="463">
        <f t="shared" ref="G49:J49" si="8">SUM(G50)</f>
        <v>-24</v>
      </c>
      <c r="H49" s="463">
        <f t="shared" si="8"/>
        <v>-24</v>
      </c>
      <c r="I49" s="463">
        <f t="shared" si="8"/>
        <v>-24</v>
      </c>
      <c r="J49" s="463">
        <f t="shared" si="8"/>
        <v>-24</v>
      </c>
    </row>
    <row r="50" spans="1:10" s="343" customFormat="1" ht="23.25" customHeight="1">
      <c r="A50" s="456" t="s">
        <v>487</v>
      </c>
      <c r="B50" s="449"/>
      <c r="C50" s="457">
        <v>-78</v>
      </c>
      <c r="D50" s="457">
        <f>-24</f>
        <v>-24</v>
      </c>
      <c r="E50" s="457">
        <f>D50</f>
        <v>-24</v>
      </c>
      <c r="F50" s="457">
        <f>SUM(G50:J50)</f>
        <v>-96</v>
      </c>
      <c r="G50" s="457">
        <v>-24</v>
      </c>
      <c r="H50" s="457">
        <v>-24</v>
      </c>
      <c r="I50" s="457">
        <v>-24</v>
      </c>
      <c r="J50" s="457">
        <v>-24</v>
      </c>
    </row>
    <row r="51" spans="1:10" s="343" customFormat="1" ht="18" hidden="1" customHeight="1">
      <c r="A51" s="452" t="s">
        <v>487</v>
      </c>
      <c r="B51" s="56"/>
      <c r="C51" s="457"/>
      <c r="D51" s="457"/>
      <c r="E51" s="457">
        <f t="shared" si="1"/>
        <v>0</v>
      </c>
      <c r="F51" s="457">
        <f t="shared" ref="F51:F54" si="9">SUM(G51:J51)</f>
        <v>0</v>
      </c>
      <c r="G51" s="457"/>
      <c r="H51" s="457"/>
      <c r="I51" s="458"/>
      <c r="J51" s="458"/>
    </row>
    <row r="52" spans="1:10" s="343" customFormat="1" ht="36.75" hidden="1" customHeight="1">
      <c r="A52" s="454" t="s">
        <v>419</v>
      </c>
      <c r="B52" s="56">
        <v>3274</v>
      </c>
      <c r="C52" s="463">
        <f>C53</f>
        <v>0</v>
      </c>
      <c r="D52" s="467">
        <f t="shared" ref="D52:J52" si="10">D53</f>
        <v>0</v>
      </c>
      <c r="E52" s="457">
        <f>D52</f>
        <v>0</v>
      </c>
      <c r="F52" s="457">
        <f t="shared" si="9"/>
        <v>0</v>
      </c>
      <c r="G52" s="467">
        <f t="shared" si="10"/>
        <v>0</v>
      </c>
      <c r="H52" s="467">
        <f t="shared" si="10"/>
        <v>0</v>
      </c>
      <c r="I52" s="467">
        <f t="shared" si="10"/>
        <v>0</v>
      </c>
      <c r="J52" s="467">
        <f t="shared" si="10"/>
        <v>0</v>
      </c>
    </row>
    <row r="53" spans="1:10" s="343" customFormat="1" ht="20.25" hidden="1" customHeight="1">
      <c r="A53" s="452" t="s">
        <v>570</v>
      </c>
      <c r="B53" s="56"/>
      <c r="C53" s="457">
        <v>0</v>
      </c>
      <c r="D53" s="467"/>
      <c r="E53" s="457">
        <f>D53</f>
        <v>0</v>
      </c>
      <c r="F53" s="457">
        <f t="shared" si="9"/>
        <v>0</v>
      </c>
      <c r="G53" s="467"/>
      <c r="H53" s="467"/>
      <c r="I53" s="470"/>
      <c r="J53" s="470"/>
    </row>
    <row r="54" spans="1:10" s="343" customFormat="1" ht="23.25" customHeight="1">
      <c r="A54" s="452" t="s">
        <v>682</v>
      </c>
      <c r="B54" s="56"/>
      <c r="C54" s="457">
        <v>-936</v>
      </c>
      <c r="D54" s="467"/>
      <c r="E54" s="457"/>
      <c r="F54" s="457">
        <f t="shared" si="9"/>
        <v>0</v>
      </c>
      <c r="G54" s="467"/>
      <c r="H54" s="467"/>
      <c r="I54" s="470"/>
      <c r="J54" s="470"/>
    </row>
    <row r="55" spans="1:10" s="343" customFormat="1" ht="44.25" customHeight="1">
      <c r="A55" s="454" t="s">
        <v>420</v>
      </c>
      <c r="B55" s="56">
        <v>3275</v>
      </c>
      <c r="C55" s="463">
        <f>SUM(C56:C61)</f>
        <v>-31</v>
      </c>
      <c r="D55" s="463">
        <f>SUM(D61:D61)</f>
        <v>0</v>
      </c>
      <c r="E55" s="457">
        <f>D55</f>
        <v>0</v>
      </c>
      <c r="F55" s="457">
        <f>SUM(G55:J55)</f>
        <v>0</v>
      </c>
      <c r="G55" s="463">
        <f>SUM(G61:G61)</f>
        <v>0</v>
      </c>
      <c r="H55" s="463">
        <f>SUM(H61:H61)</f>
        <v>0</v>
      </c>
      <c r="I55" s="463">
        <f>SUM(I61:I61)</f>
        <v>0</v>
      </c>
      <c r="J55" s="463">
        <f>SUM(J61:J61)</f>
        <v>0</v>
      </c>
    </row>
    <row r="56" spans="1:10" s="343" customFormat="1" ht="20.25" hidden="1" customHeight="1">
      <c r="A56" s="452" t="s">
        <v>515</v>
      </c>
      <c r="B56" s="56"/>
      <c r="C56" s="457">
        <v>0</v>
      </c>
      <c r="D56" s="463"/>
      <c r="E56" s="457"/>
      <c r="F56" s="457">
        <f t="shared" ref="F56:F61" si="11">SUM(G56:J56)</f>
        <v>0</v>
      </c>
      <c r="G56" s="463"/>
      <c r="H56" s="463"/>
      <c r="I56" s="463"/>
      <c r="J56" s="463"/>
    </row>
    <row r="57" spans="1:10" s="343" customFormat="1" ht="24.75" hidden="1" customHeight="1">
      <c r="A57" s="452" t="s">
        <v>516</v>
      </c>
      <c r="B57" s="56"/>
      <c r="C57" s="457">
        <v>0</v>
      </c>
      <c r="D57" s="463"/>
      <c r="E57" s="457"/>
      <c r="F57" s="457">
        <f t="shared" si="11"/>
        <v>0</v>
      </c>
      <c r="G57" s="463"/>
      <c r="H57" s="463"/>
      <c r="I57" s="463"/>
      <c r="J57" s="463"/>
    </row>
    <row r="58" spans="1:10" s="343" customFormat="1" ht="24.75" hidden="1" customHeight="1">
      <c r="A58" s="452" t="s">
        <v>517</v>
      </c>
      <c r="B58" s="56"/>
      <c r="C58" s="457"/>
      <c r="D58" s="463"/>
      <c r="E58" s="457"/>
      <c r="F58" s="457">
        <f t="shared" si="11"/>
        <v>0</v>
      </c>
      <c r="G58" s="463"/>
      <c r="H58" s="463"/>
      <c r="I58" s="463"/>
      <c r="J58" s="463"/>
    </row>
    <row r="59" spans="1:10" s="343" customFormat="1" ht="24.75" hidden="1" customHeight="1">
      <c r="A59" s="452" t="s">
        <v>614</v>
      </c>
      <c r="B59" s="56"/>
      <c r="C59" s="457"/>
      <c r="D59" s="463"/>
      <c r="E59" s="457"/>
      <c r="F59" s="457">
        <f t="shared" si="11"/>
        <v>0</v>
      </c>
      <c r="G59" s="463"/>
      <c r="H59" s="463"/>
      <c r="I59" s="463"/>
      <c r="J59" s="463"/>
    </row>
    <row r="60" spans="1:10" s="343" customFormat="1" ht="25.5" customHeight="1">
      <c r="A60" s="452" t="s">
        <v>518</v>
      </c>
      <c r="B60" s="56"/>
      <c r="C60" s="457">
        <v>-12</v>
      </c>
      <c r="D60" s="463"/>
      <c r="E60" s="457"/>
      <c r="F60" s="457">
        <f t="shared" si="11"/>
        <v>0</v>
      </c>
      <c r="G60" s="463"/>
      <c r="H60" s="463"/>
      <c r="I60" s="463"/>
      <c r="J60" s="463"/>
    </row>
    <row r="61" spans="1:10" s="343" customFormat="1" ht="25.5" customHeight="1">
      <c r="A61" s="452" t="s">
        <v>571</v>
      </c>
      <c r="B61" s="56"/>
      <c r="C61" s="457">
        <v>-19</v>
      </c>
      <c r="D61" s="457"/>
      <c r="E61" s="457"/>
      <c r="F61" s="457">
        <f t="shared" si="11"/>
        <v>0</v>
      </c>
      <c r="G61" s="457"/>
      <c r="H61" s="457"/>
      <c r="I61" s="458"/>
      <c r="J61" s="458"/>
    </row>
    <row r="62" spans="1:10" s="343" customFormat="1" ht="24.75" hidden="1" customHeight="1">
      <c r="A62" s="20" t="s">
        <v>421</v>
      </c>
    </row>
    <row r="63" spans="1:10" s="343" customFormat="1" ht="48" hidden="1" customHeight="1">
      <c r="A63" s="20" t="s">
        <v>422</v>
      </c>
      <c r="B63" s="148">
        <v>3276</v>
      </c>
      <c r="C63" s="138"/>
      <c r="D63" s="138"/>
      <c r="E63" s="139">
        <f t="shared" si="1"/>
        <v>0</v>
      </c>
      <c r="F63" s="139">
        <f t="shared" si="2"/>
        <v>0</v>
      </c>
      <c r="G63" s="138"/>
      <c r="H63" s="138"/>
      <c r="I63" s="142"/>
      <c r="J63" s="142"/>
    </row>
    <row r="64" spans="1:10" s="343" customFormat="1" ht="42" hidden="1" customHeight="1">
      <c r="A64" s="122" t="s">
        <v>113</v>
      </c>
      <c r="B64" s="148">
        <v>3280</v>
      </c>
      <c r="C64" s="139"/>
      <c r="D64" s="139"/>
      <c r="E64" s="139">
        <f t="shared" ref="E64:E69" si="12">D64</f>
        <v>0</v>
      </c>
      <c r="F64" s="139">
        <f t="shared" si="2"/>
        <v>0</v>
      </c>
      <c r="G64" s="139"/>
      <c r="H64" s="139"/>
      <c r="I64" s="144"/>
      <c r="J64" s="144"/>
    </row>
    <row r="65" spans="1:10" s="343" customFormat="1" ht="32.25" hidden="1" customHeight="1">
      <c r="A65" s="121" t="s">
        <v>264</v>
      </c>
      <c r="B65" s="148">
        <v>3300</v>
      </c>
      <c r="C65" s="143"/>
      <c r="D65" s="143"/>
      <c r="E65" s="139">
        <f t="shared" si="12"/>
        <v>0</v>
      </c>
      <c r="F65" s="139">
        <f t="shared" ref="F65:F69" si="13">SUM(G65:J65)</f>
        <v>0</v>
      </c>
      <c r="G65" s="143"/>
      <c r="H65" s="143"/>
      <c r="I65" s="143"/>
      <c r="J65" s="143"/>
    </row>
    <row r="66" spans="1:10" s="343" customFormat="1" ht="30" hidden="1" customHeight="1">
      <c r="A66" s="20" t="s">
        <v>417</v>
      </c>
      <c r="B66" s="148"/>
      <c r="C66" s="139"/>
      <c r="D66" s="139"/>
      <c r="E66" s="139">
        <f t="shared" si="12"/>
        <v>0</v>
      </c>
      <c r="F66" s="139">
        <f t="shared" si="13"/>
        <v>0</v>
      </c>
      <c r="G66" s="139"/>
      <c r="H66" s="139"/>
      <c r="I66" s="144"/>
      <c r="J66" s="144"/>
    </row>
    <row r="67" spans="1:10" s="343" customFormat="1" ht="38.25" hidden="1" customHeight="1">
      <c r="A67" s="121" t="s">
        <v>266</v>
      </c>
      <c r="B67" s="148">
        <v>3330</v>
      </c>
      <c r="C67" s="139"/>
      <c r="D67" s="139"/>
      <c r="E67" s="139">
        <f t="shared" si="12"/>
        <v>0</v>
      </c>
      <c r="F67" s="139">
        <f t="shared" si="13"/>
        <v>0</v>
      </c>
      <c r="G67" s="139"/>
      <c r="H67" s="139"/>
      <c r="I67" s="140"/>
      <c r="J67" s="140"/>
    </row>
    <row r="68" spans="1:10" s="343" customFormat="1" ht="21.75" hidden="1" customHeight="1">
      <c r="A68" s="20" t="s">
        <v>245</v>
      </c>
      <c r="B68" s="148"/>
      <c r="C68" s="143"/>
      <c r="D68" s="143"/>
      <c r="E68" s="139">
        <f t="shared" si="12"/>
        <v>0</v>
      </c>
      <c r="F68" s="139">
        <f t="shared" si="13"/>
        <v>0</v>
      </c>
      <c r="G68" s="143"/>
      <c r="H68" s="143"/>
      <c r="I68" s="143"/>
      <c r="J68" s="143"/>
    </row>
    <row r="69" spans="1:10" s="343" customFormat="1" ht="20.25" hidden="1" customHeight="1">
      <c r="A69" s="344"/>
      <c r="B69" s="148">
        <v>3390</v>
      </c>
      <c r="C69" s="139"/>
      <c r="D69" s="139"/>
      <c r="E69" s="139">
        <f t="shared" si="12"/>
        <v>0</v>
      </c>
      <c r="F69" s="139">
        <f t="shared" si="13"/>
        <v>0</v>
      </c>
      <c r="G69" s="139"/>
      <c r="H69" s="139"/>
      <c r="I69" s="139"/>
      <c r="J69" s="139"/>
    </row>
    <row r="70" spans="1:10" s="343" customFormat="1" ht="38.25" customHeight="1">
      <c r="B70" s="357"/>
      <c r="C70" s="119"/>
      <c r="D70" s="119"/>
      <c r="E70" s="119"/>
      <c r="F70" s="119"/>
      <c r="G70" s="119"/>
      <c r="H70" s="119"/>
      <c r="I70" s="119"/>
      <c r="J70" s="120"/>
    </row>
    <row r="71" spans="1:10" s="348" customFormat="1" ht="19.5" customHeight="1">
      <c r="A71" s="261" t="s">
        <v>525</v>
      </c>
      <c r="B71" s="262"/>
      <c r="C71" s="584" t="s">
        <v>84</v>
      </c>
      <c r="D71" s="584"/>
      <c r="E71" s="584"/>
      <c r="F71" s="263"/>
      <c r="G71" s="579" t="s">
        <v>702</v>
      </c>
      <c r="H71" s="579"/>
      <c r="I71" s="579"/>
    </row>
    <row r="72" spans="1:10" s="265" customFormat="1" ht="15.6">
      <c r="A72" s="306" t="s">
        <v>365</v>
      </c>
      <c r="B72" s="271"/>
      <c r="C72" s="580" t="s">
        <v>572</v>
      </c>
      <c r="D72" s="580"/>
      <c r="E72" s="266"/>
      <c r="G72" s="581" t="s">
        <v>82</v>
      </c>
      <c r="H72" s="581"/>
      <c r="I72" s="581"/>
    </row>
    <row r="73" spans="1:10">
      <c r="A73" s="346"/>
      <c r="C73" s="347"/>
      <c r="D73" s="260"/>
      <c r="E73" s="260"/>
      <c r="F73" s="260"/>
      <c r="G73" s="260"/>
      <c r="H73" s="260"/>
    </row>
    <row r="74" spans="1:10">
      <c r="A74" s="346"/>
      <c r="C74" s="347"/>
      <c r="D74" s="260"/>
      <c r="E74" s="260"/>
      <c r="F74" s="260"/>
      <c r="G74" s="260"/>
      <c r="H74" s="260"/>
    </row>
    <row r="75" spans="1:10">
      <c r="A75" s="346"/>
      <c r="C75" s="347"/>
      <c r="D75" s="260"/>
      <c r="E75" s="260"/>
      <c r="F75" s="260"/>
      <c r="G75" s="260"/>
      <c r="H75" s="260"/>
    </row>
    <row r="76" spans="1:10">
      <c r="A76" s="346"/>
      <c r="C76" s="347"/>
      <c r="D76" s="260"/>
      <c r="E76" s="260"/>
      <c r="F76" s="260"/>
      <c r="G76" s="260"/>
      <c r="H76" s="260"/>
    </row>
    <row r="77" spans="1:10">
      <c r="A77" s="346"/>
      <c r="C77" s="347"/>
      <c r="D77" s="260"/>
      <c r="E77" s="260"/>
      <c r="F77" s="260"/>
      <c r="G77" s="260"/>
      <c r="H77" s="260"/>
    </row>
    <row r="78" spans="1:10">
      <c r="A78" s="346"/>
      <c r="C78" s="347"/>
      <c r="D78" s="260"/>
      <c r="E78" s="260"/>
      <c r="F78" s="260"/>
      <c r="G78" s="260"/>
      <c r="H78" s="260"/>
    </row>
    <row r="79" spans="1:10">
      <c r="A79" s="346"/>
      <c r="C79" s="347"/>
      <c r="D79" s="260"/>
      <c r="E79" s="260"/>
      <c r="F79" s="260"/>
      <c r="G79" s="260"/>
      <c r="H79" s="260"/>
    </row>
    <row r="80" spans="1:10">
      <c r="A80" s="346"/>
      <c r="C80" s="347"/>
      <c r="D80" s="260"/>
      <c r="E80" s="260"/>
      <c r="F80" s="260"/>
      <c r="G80" s="260"/>
      <c r="H80" s="260"/>
    </row>
    <row r="81" spans="1:8">
      <c r="A81" s="346"/>
      <c r="C81" s="347"/>
      <c r="D81" s="260"/>
      <c r="E81" s="260"/>
      <c r="F81" s="260"/>
      <c r="G81" s="260"/>
      <c r="H81" s="260"/>
    </row>
    <row r="82" spans="1:8">
      <c r="A82" s="346"/>
      <c r="C82" s="347"/>
      <c r="D82" s="260"/>
      <c r="E82" s="260"/>
      <c r="F82" s="260"/>
      <c r="G82" s="260"/>
      <c r="H82" s="260"/>
    </row>
    <row r="83" spans="1:8">
      <c r="A83" s="346"/>
      <c r="C83" s="347"/>
      <c r="D83" s="260"/>
      <c r="E83" s="260"/>
      <c r="F83" s="260"/>
      <c r="G83" s="260"/>
      <c r="H83" s="260"/>
    </row>
    <row r="84" spans="1:8">
      <c r="A84" s="346"/>
      <c r="C84" s="347"/>
      <c r="D84" s="260"/>
      <c r="E84" s="260"/>
      <c r="F84" s="260"/>
      <c r="G84" s="260"/>
      <c r="H84" s="260"/>
    </row>
    <row r="85" spans="1:8">
      <c r="A85" s="346"/>
      <c r="C85" s="347"/>
      <c r="D85" s="260"/>
      <c r="E85" s="260"/>
      <c r="F85" s="260"/>
      <c r="G85" s="260"/>
      <c r="H85" s="260"/>
    </row>
    <row r="86" spans="1:8">
      <c r="A86" s="346"/>
      <c r="C86" s="347"/>
      <c r="D86" s="260"/>
      <c r="E86" s="260"/>
      <c r="F86" s="260"/>
      <c r="G86" s="260"/>
      <c r="H86" s="260"/>
    </row>
    <row r="87" spans="1:8">
      <c r="A87" s="346"/>
      <c r="C87" s="347"/>
      <c r="D87" s="260"/>
      <c r="E87" s="260"/>
      <c r="F87" s="260"/>
      <c r="G87" s="260"/>
      <c r="H87" s="260"/>
    </row>
    <row r="88" spans="1:8">
      <c r="A88" s="346"/>
      <c r="C88" s="347"/>
      <c r="D88" s="260"/>
      <c r="E88" s="260"/>
      <c r="F88" s="260"/>
      <c r="G88" s="260"/>
      <c r="H88" s="260"/>
    </row>
    <row r="89" spans="1:8">
      <c r="A89" s="346"/>
      <c r="C89" s="347"/>
      <c r="D89" s="260"/>
      <c r="E89" s="260"/>
      <c r="F89" s="260"/>
      <c r="G89" s="260"/>
      <c r="H89" s="260"/>
    </row>
    <row r="90" spans="1:8">
      <c r="A90" s="346"/>
      <c r="C90" s="347"/>
      <c r="D90" s="260"/>
      <c r="E90" s="260"/>
      <c r="F90" s="260"/>
      <c r="G90" s="260"/>
      <c r="H90" s="260"/>
    </row>
    <row r="91" spans="1:8">
      <c r="A91" s="346"/>
      <c r="C91" s="347"/>
      <c r="D91" s="260"/>
      <c r="E91" s="260"/>
      <c r="F91" s="260"/>
      <c r="G91" s="260"/>
      <c r="H91" s="260"/>
    </row>
    <row r="92" spans="1:8">
      <c r="A92" s="346"/>
      <c r="C92" s="347"/>
      <c r="D92" s="260"/>
      <c r="E92" s="260"/>
      <c r="F92" s="260"/>
      <c r="G92" s="260"/>
      <c r="H92" s="260"/>
    </row>
    <row r="93" spans="1:8">
      <c r="A93" s="346"/>
      <c r="C93" s="347"/>
      <c r="D93" s="260"/>
      <c r="E93" s="260"/>
      <c r="F93" s="260"/>
      <c r="G93" s="260"/>
      <c r="H93" s="260"/>
    </row>
    <row r="94" spans="1:8">
      <c r="A94" s="346"/>
      <c r="C94" s="347"/>
      <c r="D94" s="260"/>
      <c r="E94" s="260"/>
      <c r="F94" s="260"/>
      <c r="G94" s="260"/>
      <c r="H94" s="260"/>
    </row>
    <row r="95" spans="1:8">
      <c r="A95" s="346"/>
      <c r="C95" s="347"/>
      <c r="D95" s="260"/>
      <c r="E95" s="260"/>
      <c r="F95" s="260"/>
      <c r="G95" s="260"/>
      <c r="H95" s="260"/>
    </row>
    <row r="96" spans="1:8">
      <c r="A96" s="346"/>
      <c r="C96" s="347"/>
      <c r="D96" s="260"/>
      <c r="E96" s="260"/>
      <c r="F96" s="260"/>
      <c r="G96" s="260"/>
      <c r="H96" s="260"/>
    </row>
    <row r="97" spans="1:8">
      <c r="A97" s="346"/>
      <c r="C97" s="347"/>
      <c r="D97" s="260"/>
      <c r="E97" s="260"/>
      <c r="F97" s="260"/>
      <c r="G97" s="260"/>
      <c r="H97" s="260"/>
    </row>
    <row r="98" spans="1:8">
      <c r="A98" s="346"/>
      <c r="C98" s="347"/>
      <c r="D98" s="260"/>
      <c r="E98" s="260"/>
      <c r="F98" s="260"/>
      <c r="G98" s="260"/>
      <c r="H98" s="260"/>
    </row>
    <row r="99" spans="1:8">
      <c r="A99" s="346"/>
      <c r="C99" s="347"/>
      <c r="D99" s="260"/>
      <c r="E99" s="260"/>
      <c r="F99" s="260"/>
      <c r="G99" s="260"/>
      <c r="H99" s="260"/>
    </row>
    <row r="100" spans="1:8">
      <c r="A100" s="346"/>
      <c r="C100" s="347"/>
      <c r="D100" s="260"/>
      <c r="E100" s="260"/>
      <c r="F100" s="260"/>
      <c r="G100" s="260"/>
      <c r="H100" s="260"/>
    </row>
    <row r="101" spans="1:8">
      <c r="A101" s="346"/>
      <c r="C101" s="347"/>
      <c r="D101" s="260"/>
      <c r="E101" s="260"/>
      <c r="F101" s="260"/>
      <c r="G101" s="260"/>
      <c r="H101" s="260"/>
    </row>
    <row r="102" spans="1:8">
      <c r="A102" s="346"/>
      <c r="C102" s="347"/>
      <c r="D102" s="260"/>
      <c r="E102" s="260"/>
      <c r="F102" s="260"/>
      <c r="G102" s="260"/>
      <c r="H102" s="260"/>
    </row>
    <row r="103" spans="1:8">
      <c r="A103" s="346"/>
      <c r="C103" s="347"/>
      <c r="D103" s="260"/>
      <c r="E103" s="260"/>
      <c r="F103" s="260"/>
      <c r="G103" s="260"/>
      <c r="H103" s="260"/>
    </row>
    <row r="104" spans="1:8">
      <c r="A104" s="346"/>
      <c r="C104" s="347"/>
      <c r="D104" s="260"/>
      <c r="E104" s="260"/>
      <c r="F104" s="260"/>
      <c r="G104" s="260"/>
      <c r="H104" s="260"/>
    </row>
    <row r="105" spans="1:8">
      <c r="A105" s="346"/>
      <c r="C105" s="347"/>
      <c r="D105" s="260"/>
      <c r="E105" s="260"/>
      <c r="F105" s="260"/>
      <c r="G105" s="260"/>
      <c r="H105" s="260"/>
    </row>
    <row r="106" spans="1:8">
      <c r="A106" s="346"/>
      <c r="C106" s="347"/>
      <c r="D106" s="260"/>
      <c r="E106" s="260"/>
      <c r="F106" s="260"/>
      <c r="G106" s="260"/>
      <c r="H106" s="260"/>
    </row>
    <row r="107" spans="1:8">
      <c r="A107" s="346"/>
      <c r="C107" s="347"/>
      <c r="D107" s="260"/>
      <c r="E107" s="260"/>
      <c r="F107" s="260"/>
      <c r="G107" s="260"/>
      <c r="H107" s="260"/>
    </row>
    <row r="108" spans="1:8">
      <c r="A108" s="346"/>
      <c r="C108" s="347"/>
      <c r="D108" s="260"/>
      <c r="E108" s="260"/>
      <c r="F108" s="260"/>
      <c r="G108" s="260"/>
      <c r="H108" s="260"/>
    </row>
    <row r="109" spans="1:8">
      <c r="A109" s="346"/>
      <c r="C109" s="347"/>
      <c r="D109" s="260"/>
      <c r="E109" s="260"/>
      <c r="F109" s="260"/>
      <c r="G109" s="260"/>
      <c r="H109" s="260"/>
    </row>
    <row r="110" spans="1:8">
      <c r="A110" s="346"/>
      <c r="C110" s="347"/>
      <c r="D110" s="260"/>
      <c r="E110" s="260"/>
      <c r="F110" s="260"/>
      <c r="G110" s="260"/>
      <c r="H110" s="260"/>
    </row>
    <row r="111" spans="1:8">
      <c r="A111" s="346"/>
      <c r="C111" s="347"/>
      <c r="D111" s="260"/>
      <c r="E111" s="260"/>
      <c r="F111" s="260"/>
      <c r="G111" s="260"/>
      <c r="H111" s="260"/>
    </row>
    <row r="112" spans="1:8">
      <c r="A112" s="346"/>
      <c r="C112" s="347"/>
      <c r="D112" s="260"/>
      <c r="E112" s="260"/>
      <c r="F112" s="260"/>
      <c r="G112" s="260"/>
      <c r="H112" s="260"/>
    </row>
    <row r="113" spans="1:8">
      <c r="A113" s="346"/>
      <c r="C113" s="347"/>
      <c r="D113" s="260"/>
      <c r="E113" s="260"/>
      <c r="F113" s="260"/>
      <c r="G113" s="260"/>
      <c r="H113" s="260"/>
    </row>
    <row r="114" spans="1:8">
      <c r="A114" s="346"/>
      <c r="C114" s="347"/>
      <c r="D114" s="260"/>
      <c r="E114" s="260"/>
      <c r="F114" s="260"/>
      <c r="G114" s="260"/>
      <c r="H114" s="260"/>
    </row>
    <row r="115" spans="1:8">
      <c r="A115" s="346"/>
      <c r="C115" s="347"/>
      <c r="D115" s="260"/>
      <c r="E115" s="260"/>
      <c r="F115" s="260"/>
      <c r="G115" s="260"/>
      <c r="H115" s="260"/>
    </row>
    <row r="116" spans="1:8">
      <c r="A116" s="346"/>
      <c r="C116" s="347"/>
      <c r="D116" s="260"/>
      <c r="E116" s="260"/>
      <c r="F116" s="260"/>
      <c r="G116" s="260"/>
      <c r="H116" s="260"/>
    </row>
    <row r="117" spans="1:8">
      <c r="A117" s="346"/>
      <c r="C117" s="347"/>
      <c r="D117" s="260"/>
      <c r="E117" s="260"/>
      <c r="F117" s="260"/>
      <c r="G117" s="260"/>
      <c r="H117" s="260"/>
    </row>
    <row r="118" spans="1:8">
      <c r="A118" s="346"/>
      <c r="C118" s="347"/>
      <c r="D118" s="260"/>
      <c r="E118" s="260"/>
      <c r="F118" s="260"/>
      <c r="G118" s="260"/>
      <c r="H118" s="260"/>
    </row>
    <row r="119" spans="1:8">
      <c r="A119" s="346"/>
      <c r="C119" s="347"/>
      <c r="D119" s="260"/>
      <c r="E119" s="260"/>
      <c r="F119" s="260"/>
      <c r="G119" s="260"/>
      <c r="H119" s="260"/>
    </row>
    <row r="120" spans="1:8">
      <c r="A120" s="346"/>
      <c r="C120" s="347"/>
      <c r="D120" s="260"/>
      <c r="E120" s="260"/>
      <c r="F120" s="260"/>
      <c r="G120" s="260"/>
      <c r="H120" s="260"/>
    </row>
    <row r="121" spans="1:8">
      <c r="A121" s="346"/>
      <c r="C121" s="347"/>
      <c r="D121" s="260"/>
      <c r="E121" s="260"/>
      <c r="F121" s="260"/>
      <c r="G121" s="260"/>
      <c r="H121" s="260"/>
    </row>
    <row r="122" spans="1:8">
      <c r="A122" s="346"/>
      <c r="C122" s="347"/>
      <c r="D122" s="260"/>
      <c r="E122" s="260"/>
      <c r="F122" s="260"/>
      <c r="G122" s="260"/>
      <c r="H122" s="260"/>
    </row>
    <row r="123" spans="1:8">
      <c r="A123" s="346"/>
      <c r="C123" s="347"/>
      <c r="D123" s="260"/>
      <c r="E123" s="260"/>
      <c r="F123" s="260"/>
      <c r="G123" s="260"/>
      <c r="H123" s="260"/>
    </row>
    <row r="124" spans="1:8">
      <c r="A124" s="346"/>
      <c r="C124" s="347"/>
      <c r="D124" s="260"/>
      <c r="E124" s="260"/>
      <c r="F124" s="260"/>
      <c r="G124" s="260"/>
      <c r="H124" s="260"/>
    </row>
    <row r="125" spans="1:8">
      <c r="A125" s="346"/>
      <c r="C125" s="347"/>
      <c r="D125" s="260"/>
      <c r="E125" s="260"/>
      <c r="F125" s="260"/>
      <c r="G125" s="260"/>
      <c r="H125" s="260"/>
    </row>
    <row r="126" spans="1:8">
      <c r="A126" s="346"/>
      <c r="C126" s="347"/>
      <c r="D126" s="260"/>
      <c r="E126" s="260"/>
      <c r="F126" s="260"/>
      <c r="G126" s="260"/>
      <c r="H126" s="260"/>
    </row>
    <row r="127" spans="1:8">
      <c r="A127" s="349"/>
    </row>
    <row r="128" spans="1:8">
      <c r="A128" s="349"/>
    </row>
    <row r="129" spans="1:1">
      <c r="A129" s="349"/>
    </row>
    <row r="130" spans="1:1">
      <c r="A130" s="349"/>
    </row>
    <row r="131" spans="1:1">
      <c r="A131" s="349"/>
    </row>
    <row r="132" spans="1:1">
      <c r="A132" s="349"/>
    </row>
    <row r="133" spans="1:1">
      <c r="A133" s="349"/>
    </row>
    <row r="134" spans="1:1">
      <c r="A134" s="349"/>
    </row>
    <row r="135" spans="1:1">
      <c r="A135" s="349"/>
    </row>
    <row r="136" spans="1:1">
      <c r="A136" s="349"/>
    </row>
    <row r="137" spans="1:1">
      <c r="A137" s="349"/>
    </row>
    <row r="138" spans="1:1">
      <c r="A138" s="349"/>
    </row>
    <row r="139" spans="1:1">
      <c r="A139" s="349"/>
    </row>
    <row r="140" spans="1:1">
      <c r="A140" s="349"/>
    </row>
    <row r="141" spans="1:1">
      <c r="A141" s="349"/>
    </row>
    <row r="142" spans="1:1">
      <c r="A142" s="349"/>
    </row>
    <row r="143" spans="1:1">
      <c r="A143" s="349"/>
    </row>
    <row r="144" spans="1:1">
      <c r="A144" s="349"/>
    </row>
    <row r="145" spans="1:1">
      <c r="A145" s="349"/>
    </row>
    <row r="146" spans="1:1">
      <c r="A146" s="349"/>
    </row>
    <row r="147" spans="1:1">
      <c r="A147" s="349"/>
    </row>
    <row r="148" spans="1:1">
      <c r="A148" s="349"/>
    </row>
    <row r="149" spans="1:1">
      <c r="A149" s="349"/>
    </row>
    <row r="150" spans="1:1">
      <c r="A150" s="349"/>
    </row>
    <row r="151" spans="1:1">
      <c r="A151" s="349"/>
    </row>
    <row r="152" spans="1:1">
      <c r="A152" s="349"/>
    </row>
    <row r="153" spans="1:1">
      <c r="A153" s="349"/>
    </row>
    <row r="154" spans="1:1">
      <c r="A154" s="349"/>
    </row>
    <row r="155" spans="1:1">
      <c r="A155" s="349"/>
    </row>
    <row r="156" spans="1:1">
      <c r="A156" s="349"/>
    </row>
    <row r="157" spans="1:1">
      <c r="A157" s="349"/>
    </row>
    <row r="158" spans="1:1">
      <c r="A158" s="349"/>
    </row>
    <row r="159" spans="1:1">
      <c r="A159" s="349"/>
    </row>
    <row r="160" spans="1:1">
      <c r="A160" s="349"/>
    </row>
    <row r="161" spans="1:1">
      <c r="A161" s="349"/>
    </row>
    <row r="162" spans="1:1">
      <c r="A162" s="349"/>
    </row>
    <row r="163" spans="1:1">
      <c r="A163" s="349"/>
    </row>
    <row r="164" spans="1:1">
      <c r="A164" s="349"/>
    </row>
    <row r="165" spans="1:1">
      <c r="A165" s="349"/>
    </row>
    <row r="166" spans="1:1">
      <c r="A166" s="349"/>
    </row>
    <row r="167" spans="1:1">
      <c r="A167" s="349"/>
    </row>
    <row r="168" spans="1:1">
      <c r="A168" s="349"/>
    </row>
    <row r="169" spans="1:1">
      <c r="A169" s="349"/>
    </row>
    <row r="170" spans="1:1">
      <c r="A170" s="349"/>
    </row>
    <row r="171" spans="1:1">
      <c r="A171" s="349"/>
    </row>
    <row r="172" spans="1:1">
      <c r="A172" s="349"/>
    </row>
    <row r="173" spans="1:1">
      <c r="A173" s="349"/>
    </row>
    <row r="174" spans="1:1">
      <c r="A174" s="349"/>
    </row>
    <row r="175" spans="1:1">
      <c r="A175" s="349"/>
    </row>
    <row r="176" spans="1:1">
      <c r="A176" s="349"/>
    </row>
    <row r="177" spans="1:1">
      <c r="A177" s="349"/>
    </row>
    <row r="178" spans="1:1">
      <c r="A178" s="349"/>
    </row>
    <row r="179" spans="1:1">
      <c r="A179" s="349"/>
    </row>
    <row r="180" spans="1:1">
      <c r="A180" s="349"/>
    </row>
    <row r="181" spans="1:1">
      <c r="A181" s="349"/>
    </row>
    <row r="182" spans="1:1">
      <c r="A182" s="349"/>
    </row>
    <row r="183" spans="1:1">
      <c r="A183" s="349"/>
    </row>
    <row r="184" spans="1:1">
      <c r="A184" s="349"/>
    </row>
    <row r="185" spans="1:1">
      <c r="A185" s="349"/>
    </row>
    <row r="186" spans="1:1">
      <c r="A186" s="349"/>
    </row>
    <row r="187" spans="1:1">
      <c r="A187" s="349"/>
    </row>
    <row r="188" spans="1:1">
      <c r="A188" s="349"/>
    </row>
    <row r="189" spans="1:1">
      <c r="A189" s="349"/>
    </row>
    <row r="190" spans="1:1">
      <c r="A190" s="349"/>
    </row>
    <row r="191" spans="1:1">
      <c r="A191" s="349"/>
    </row>
    <row r="192" spans="1:1">
      <c r="A192" s="349"/>
    </row>
    <row r="193" spans="1:1">
      <c r="A193" s="349"/>
    </row>
    <row r="194" spans="1:1">
      <c r="A194" s="349"/>
    </row>
    <row r="195" spans="1:1">
      <c r="A195" s="349"/>
    </row>
    <row r="196" spans="1:1">
      <c r="A196" s="349"/>
    </row>
    <row r="197" spans="1:1">
      <c r="A197" s="349"/>
    </row>
    <row r="198" spans="1:1">
      <c r="A198" s="349"/>
    </row>
    <row r="199" spans="1:1">
      <c r="A199" s="349"/>
    </row>
    <row r="200" spans="1:1">
      <c r="A200" s="349"/>
    </row>
    <row r="201" spans="1:1">
      <c r="A201" s="349"/>
    </row>
    <row r="202" spans="1:1">
      <c r="A202" s="349"/>
    </row>
    <row r="203" spans="1:1">
      <c r="A203" s="349"/>
    </row>
    <row r="204" spans="1:1">
      <c r="A204" s="349"/>
    </row>
    <row r="205" spans="1:1">
      <c r="A205" s="349"/>
    </row>
    <row r="206" spans="1:1">
      <c r="A206" s="349"/>
    </row>
    <row r="207" spans="1:1">
      <c r="A207" s="349"/>
    </row>
    <row r="208" spans="1:1">
      <c r="A208" s="349"/>
    </row>
    <row r="209" spans="1:1">
      <c r="A209" s="349"/>
    </row>
    <row r="210" spans="1:1">
      <c r="A210" s="349"/>
    </row>
    <row r="211" spans="1:1">
      <c r="A211" s="349"/>
    </row>
    <row r="212" spans="1:1">
      <c r="A212" s="349"/>
    </row>
    <row r="213" spans="1:1">
      <c r="A213" s="349"/>
    </row>
    <row r="214" spans="1:1">
      <c r="A214" s="349"/>
    </row>
    <row r="215" spans="1:1">
      <c r="A215" s="349"/>
    </row>
    <row r="216" spans="1:1">
      <c r="A216" s="349"/>
    </row>
    <row r="217" spans="1:1">
      <c r="A217" s="349"/>
    </row>
    <row r="218" spans="1:1">
      <c r="A218" s="349"/>
    </row>
    <row r="219" spans="1:1">
      <c r="A219" s="349"/>
    </row>
    <row r="220" spans="1:1">
      <c r="A220" s="349"/>
    </row>
    <row r="221" spans="1:1">
      <c r="A221" s="349"/>
    </row>
    <row r="222" spans="1:1">
      <c r="A222" s="349"/>
    </row>
    <row r="223" spans="1:1">
      <c r="A223" s="349"/>
    </row>
    <row r="224" spans="1:1">
      <c r="A224" s="349"/>
    </row>
    <row r="225" spans="1:1">
      <c r="A225" s="349"/>
    </row>
    <row r="226" spans="1:1">
      <c r="A226" s="349"/>
    </row>
    <row r="227" spans="1:1">
      <c r="A227" s="349"/>
    </row>
    <row r="228" spans="1:1">
      <c r="A228" s="349"/>
    </row>
    <row r="229" spans="1:1">
      <c r="A229" s="349"/>
    </row>
    <row r="230" spans="1:1">
      <c r="A230" s="349"/>
    </row>
    <row r="231" spans="1:1">
      <c r="A231" s="349"/>
    </row>
    <row r="232" spans="1:1">
      <c r="A232" s="349"/>
    </row>
    <row r="233" spans="1:1">
      <c r="A233" s="349"/>
    </row>
    <row r="234" spans="1:1">
      <c r="A234" s="349"/>
    </row>
    <row r="235" spans="1:1">
      <c r="A235" s="349"/>
    </row>
    <row r="236" spans="1:1">
      <c r="A236" s="349"/>
    </row>
    <row r="237" spans="1:1">
      <c r="A237" s="349"/>
    </row>
    <row r="238" spans="1:1">
      <c r="A238" s="349"/>
    </row>
    <row r="239" spans="1:1">
      <c r="A239" s="349"/>
    </row>
    <row r="240" spans="1:1">
      <c r="A240" s="349"/>
    </row>
    <row r="241" spans="1:1">
      <c r="A241" s="349"/>
    </row>
    <row r="242" spans="1:1">
      <c r="A242" s="349"/>
    </row>
    <row r="243" spans="1:1">
      <c r="A243" s="349"/>
    </row>
    <row r="244" spans="1:1">
      <c r="A244" s="349"/>
    </row>
    <row r="245" spans="1:1">
      <c r="A245" s="349"/>
    </row>
    <row r="246" spans="1:1">
      <c r="A246" s="349"/>
    </row>
    <row r="247" spans="1:1">
      <c r="A247" s="349"/>
    </row>
    <row r="248" spans="1:1">
      <c r="A248" s="349"/>
    </row>
    <row r="249" spans="1:1">
      <c r="A249" s="349"/>
    </row>
    <row r="250" spans="1:1">
      <c r="A250" s="349"/>
    </row>
    <row r="251" spans="1:1">
      <c r="A251" s="349"/>
    </row>
    <row r="252" spans="1:1">
      <c r="A252" s="349"/>
    </row>
    <row r="253" spans="1:1">
      <c r="A253" s="349"/>
    </row>
    <row r="254" spans="1:1">
      <c r="A254" s="349"/>
    </row>
    <row r="255" spans="1:1">
      <c r="A255" s="349"/>
    </row>
    <row r="256" spans="1:1">
      <c r="A256" s="349"/>
    </row>
    <row r="257" spans="1:1">
      <c r="A257" s="349"/>
    </row>
    <row r="258" spans="1:1">
      <c r="A258" s="349"/>
    </row>
    <row r="259" spans="1:1">
      <c r="A259" s="349"/>
    </row>
    <row r="260" spans="1:1">
      <c r="A260" s="349"/>
    </row>
    <row r="261" spans="1:1">
      <c r="A261" s="349"/>
    </row>
    <row r="262" spans="1:1">
      <c r="A262" s="349"/>
    </row>
    <row r="263" spans="1:1">
      <c r="A263" s="349"/>
    </row>
    <row r="264" spans="1:1">
      <c r="A264" s="349"/>
    </row>
    <row r="265" spans="1:1">
      <c r="A265" s="349"/>
    </row>
    <row r="266" spans="1:1">
      <c r="A266" s="349"/>
    </row>
    <row r="267" spans="1:1">
      <c r="A267" s="349"/>
    </row>
    <row r="268" spans="1:1">
      <c r="A268" s="349"/>
    </row>
    <row r="269" spans="1:1">
      <c r="A269" s="349"/>
    </row>
    <row r="270" spans="1:1">
      <c r="A270" s="349"/>
    </row>
    <row r="271" spans="1:1">
      <c r="A271" s="349"/>
    </row>
    <row r="272" spans="1:1">
      <c r="A272" s="349"/>
    </row>
    <row r="273" spans="1:1">
      <c r="A273" s="349"/>
    </row>
    <row r="274" spans="1:1">
      <c r="A274" s="349"/>
    </row>
    <row r="275" spans="1:1">
      <c r="A275" s="349"/>
    </row>
    <row r="276" spans="1:1">
      <c r="A276" s="349"/>
    </row>
    <row r="277" spans="1:1">
      <c r="A277" s="349"/>
    </row>
    <row r="278" spans="1:1">
      <c r="A278" s="349"/>
    </row>
    <row r="279" spans="1:1">
      <c r="A279" s="349"/>
    </row>
    <row r="280" spans="1:1">
      <c r="A280" s="349"/>
    </row>
    <row r="281" spans="1:1">
      <c r="A281" s="349"/>
    </row>
    <row r="282" spans="1:1">
      <c r="A282" s="349"/>
    </row>
    <row r="283" spans="1:1">
      <c r="A283" s="349"/>
    </row>
    <row r="284" spans="1:1">
      <c r="A284" s="349"/>
    </row>
    <row r="285" spans="1:1">
      <c r="A285" s="349"/>
    </row>
    <row r="286" spans="1:1">
      <c r="A286" s="349"/>
    </row>
    <row r="287" spans="1:1">
      <c r="A287" s="349"/>
    </row>
    <row r="288" spans="1:1">
      <c r="A288" s="349"/>
    </row>
    <row r="289" spans="1:1">
      <c r="A289" s="349"/>
    </row>
    <row r="290" spans="1:1">
      <c r="A290" s="349"/>
    </row>
    <row r="291" spans="1:1">
      <c r="A291" s="349"/>
    </row>
    <row r="292" spans="1:1">
      <c r="A292" s="349"/>
    </row>
    <row r="293" spans="1:1">
      <c r="A293" s="349"/>
    </row>
  </sheetData>
  <sheetProtection algorithmName="SHA-512" hashValue="4Uoh+uIHwTBs8dPyRmYyVHuA2X6gLiTXvqAxIxD+AzCkB53ZryyK0Ty6N6o/lGW8G5Wf8jb4HEObHbcbn+K9RQ==" saltValue="x+vST+YsBOzB+mF548hpdQ==" spinCount="100000" sheet="1" objects="1" scenarios="1" selectLockedCells="1" selectUnlockedCells="1"/>
  <mergeCells count="12">
    <mergeCell ref="G71:I71"/>
    <mergeCell ref="C72:D72"/>
    <mergeCell ref="G72:I72"/>
    <mergeCell ref="A1:H1"/>
    <mergeCell ref="A3:A4"/>
    <mergeCell ref="B3:B4"/>
    <mergeCell ref="C3:C4"/>
    <mergeCell ref="D3:D4"/>
    <mergeCell ref="E3:E4"/>
    <mergeCell ref="F3:F4"/>
    <mergeCell ref="G3:J3"/>
    <mergeCell ref="C71:E71"/>
  </mergeCells>
  <pageMargins left="0.59055118110236227" right="0.59055118110236227" top="0.98425196850393704" bottom="0.59055118110236227" header="0.19685039370078741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K184"/>
  <sheetViews>
    <sheetView view="pageBreakPreview" topLeftCell="A4" zoomScale="64" zoomScaleNormal="75" zoomScaleSheetLayoutView="64" workbookViewId="0">
      <selection activeCell="A8" sqref="A8"/>
    </sheetView>
  </sheetViews>
  <sheetFormatPr defaultColWidth="9.109375" defaultRowHeight="21"/>
  <cols>
    <col min="1" max="1" width="72.6640625" style="22" customWidth="1"/>
    <col min="2" max="2" width="18.44140625" style="24" customWidth="1"/>
    <col min="3" max="3" width="19.5546875" style="24" customWidth="1"/>
    <col min="4" max="4" width="20" style="24" customWidth="1"/>
    <col min="5" max="5" width="20.88671875" style="24" customWidth="1"/>
    <col min="6" max="6" width="18.44140625" style="22" customWidth="1"/>
    <col min="7" max="10" width="17.88671875" style="22" customWidth="1"/>
    <col min="11" max="11" width="9.5546875" style="22" customWidth="1"/>
    <col min="12" max="12" width="9.88671875" style="22" customWidth="1"/>
    <col min="13" max="16384" width="9.109375" style="22"/>
  </cols>
  <sheetData>
    <row r="1" spans="1:11" ht="30.75" customHeight="1">
      <c r="J1" s="53" t="s">
        <v>351</v>
      </c>
    </row>
    <row r="2" spans="1:11" ht="39" customHeight="1">
      <c r="A2" s="587" t="s">
        <v>143</v>
      </c>
      <c r="B2" s="587"/>
      <c r="C2" s="587"/>
      <c r="D2" s="587"/>
      <c r="E2" s="587"/>
      <c r="F2" s="587"/>
      <c r="G2" s="587"/>
      <c r="H2" s="587"/>
      <c r="I2" s="587"/>
      <c r="J2" s="587"/>
    </row>
    <row r="3" spans="1:11" ht="35.25" customHeight="1">
      <c r="A3" s="589" t="s">
        <v>392</v>
      </c>
      <c r="B3" s="589"/>
      <c r="C3" s="589"/>
      <c r="D3" s="589"/>
      <c r="E3" s="589"/>
      <c r="F3" s="589"/>
      <c r="G3" s="589"/>
      <c r="H3" s="589"/>
      <c r="I3" s="589"/>
      <c r="J3" s="589"/>
    </row>
    <row r="4" spans="1:11" ht="43.5" customHeight="1">
      <c r="A4" s="586" t="s">
        <v>164</v>
      </c>
      <c r="B4" s="588" t="s">
        <v>17</v>
      </c>
      <c r="C4" s="546" t="s">
        <v>673</v>
      </c>
      <c r="D4" s="546" t="s">
        <v>674</v>
      </c>
      <c r="E4" s="544" t="s">
        <v>675</v>
      </c>
      <c r="F4" s="551" t="s">
        <v>676</v>
      </c>
      <c r="G4" s="551" t="s">
        <v>329</v>
      </c>
      <c r="H4" s="551"/>
      <c r="I4" s="551"/>
      <c r="J4" s="551"/>
    </row>
    <row r="5" spans="1:11" ht="86.25" customHeight="1">
      <c r="A5" s="586"/>
      <c r="B5" s="588"/>
      <c r="C5" s="547"/>
      <c r="D5" s="547"/>
      <c r="E5" s="545"/>
      <c r="F5" s="551"/>
      <c r="G5" s="440" t="s">
        <v>126</v>
      </c>
      <c r="H5" s="440" t="s">
        <v>127</v>
      </c>
      <c r="I5" s="440" t="s">
        <v>128</v>
      </c>
      <c r="J5" s="440" t="s">
        <v>63</v>
      </c>
    </row>
    <row r="6" spans="1:11" ht="51.75" customHeight="1">
      <c r="A6" s="35">
        <v>1</v>
      </c>
      <c r="B6" s="36">
        <v>2</v>
      </c>
      <c r="C6" s="246">
        <v>3</v>
      </c>
      <c r="D6" s="246">
        <v>4</v>
      </c>
      <c r="E6" s="24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</row>
    <row r="7" spans="1:11" s="49" customFormat="1" ht="56.25" customHeight="1">
      <c r="A7" s="82" t="s">
        <v>73</v>
      </c>
      <c r="B7" s="146">
        <v>4000</v>
      </c>
      <c r="C7" s="40">
        <f>SUM(C8:C13)</f>
        <v>1455</v>
      </c>
      <c r="D7" s="40">
        <f>SUM(D8:D13)</f>
        <v>120</v>
      </c>
      <c r="E7" s="40">
        <f>D7</f>
        <v>120</v>
      </c>
      <c r="F7" s="40">
        <f>SUM(G7:J7)</f>
        <v>80</v>
      </c>
      <c r="G7" s="40">
        <f>SUM(G8:G13)</f>
        <v>20</v>
      </c>
      <c r="H7" s="40">
        <f>SUM(H8:H13)</f>
        <v>20</v>
      </c>
      <c r="I7" s="40">
        <f>SUM(I8:I13)</f>
        <v>20</v>
      </c>
      <c r="J7" s="40">
        <f>SUM(J8:J13)</f>
        <v>20</v>
      </c>
    </row>
    <row r="8" spans="1:11" ht="49.5" customHeight="1">
      <c r="A8" s="41" t="s">
        <v>1</v>
      </c>
      <c r="B8" s="274" t="s">
        <v>147</v>
      </c>
      <c r="C8" s="38"/>
      <c r="D8" s="38"/>
      <c r="E8" s="38"/>
      <c r="F8" s="38">
        <f t="shared" ref="F8:F13" si="0">SUM(G8:J8)</f>
        <v>0</v>
      </c>
      <c r="G8" s="38"/>
      <c r="H8" s="38"/>
      <c r="I8" s="38"/>
      <c r="J8" s="38"/>
    </row>
    <row r="9" spans="1:11" ht="57" customHeight="1">
      <c r="A9" s="41" t="s">
        <v>2</v>
      </c>
      <c r="B9" s="274">
        <v>4020</v>
      </c>
      <c r="C9" s="38">
        <v>582</v>
      </c>
      <c r="D9" s="38">
        <v>100</v>
      </c>
      <c r="E9" s="38">
        <f t="shared" ref="E9:E10" si="1">D9</f>
        <v>100</v>
      </c>
      <c r="F9" s="38">
        <f t="shared" si="0"/>
        <v>0</v>
      </c>
      <c r="G9" s="38"/>
      <c r="H9" s="38"/>
      <c r="I9" s="38"/>
      <c r="J9" s="38"/>
    </row>
    <row r="10" spans="1:11" ht="63" customHeight="1">
      <c r="A10" s="41" t="s">
        <v>27</v>
      </c>
      <c r="B10" s="274">
        <v>4030</v>
      </c>
      <c r="C10" s="38">
        <v>846</v>
      </c>
      <c r="D10" s="38">
        <v>20</v>
      </c>
      <c r="E10" s="38">
        <f t="shared" si="1"/>
        <v>20</v>
      </c>
      <c r="F10" s="38">
        <f t="shared" si="0"/>
        <v>80</v>
      </c>
      <c r="G10" s="38">
        <v>20</v>
      </c>
      <c r="H10" s="38">
        <v>20</v>
      </c>
      <c r="I10" s="38">
        <v>20</v>
      </c>
      <c r="J10" s="38">
        <v>20</v>
      </c>
    </row>
    <row r="11" spans="1:11" ht="57" customHeight="1">
      <c r="A11" s="41" t="s">
        <v>3</v>
      </c>
      <c r="B11" s="274">
        <v>4040</v>
      </c>
      <c r="C11" s="38"/>
      <c r="D11" s="38"/>
      <c r="E11" s="38"/>
      <c r="F11" s="38">
        <f t="shared" si="0"/>
        <v>0</v>
      </c>
      <c r="G11" s="38"/>
      <c r="H11" s="38"/>
      <c r="I11" s="38"/>
      <c r="J11" s="38"/>
    </row>
    <row r="12" spans="1:11" ht="57" customHeight="1">
      <c r="A12" s="41" t="s">
        <v>59</v>
      </c>
      <c r="B12" s="274">
        <v>4050</v>
      </c>
      <c r="C12" s="38">
        <v>27</v>
      </c>
      <c r="D12" s="38"/>
      <c r="E12" s="38"/>
      <c r="F12" s="38">
        <f t="shared" si="0"/>
        <v>0</v>
      </c>
      <c r="G12" s="38"/>
      <c r="H12" s="38"/>
      <c r="I12" s="38"/>
      <c r="J12" s="38"/>
    </row>
    <row r="13" spans="1:11" ht="57" customHeight="1">
      <c r="A13" s="41" t="s">
        <v>268</v>
      </c>
      <c r="B13" s="274">
        <v>4060</v>
      </c>
      <c r="C13" s="38"/>
      <c r="D13" s="38"/>
      <c r="E13" s="38"/>
      <c r="F13" s="38">
        <f t="shared" si="0"/>
        <v>0</v>
      </c>
      <c r="G13" s="38"/>
      <c r="H13" s="38"/>
      <c r="I13" s="38"/>
      <c r="J13" s="38"/>
    </row>
    <row r="14" spans="1:11" ht="20.100000000000001" customHeight="1">
      <c r="A14" s="21"/>
      <c r="B14" s="21"/>
      <c r="C14" s="21"/>
      <c r="D14" s="21"/>
      <c r="E14" s="21"/>
      <c r="F14" s="81"/>
      <c r="G14" s="81"/>
      <c r="H14" s="81"/>
      <c r="I14" s="81"/>
      <c r="J14" s="81"/>
    </row>
    <row r="15" spans="1:11" ht="20.100000000000001" customHeight="1">
      <c r="A15" s="21"/>
      <c r="B15" s="21"/>
      <c r="C15" s="21"/>
      <c r="D15" s="21"/>
      <c r="E15" s="21"/>
      <c r="F15" s="372"/>
      <c r="G15" s="81"/>
      <c r="H15" s="81"/>
      <c r="I15" s="81"/>
      <c r="J15" s="81"/>
    </row>
    <row r="16" spans="1:11" s="55" customFormat="1" ht="20.100000000000001" customHeight="1">
      <c r="A16" s="25"/>
      <c r="B16" s="28"/>
      <c r="C16" s="21"/>
      <c r="D16" s="21"/>
      <c r="E16" s="21"/>
      <c r="F16" s="21"/>
      <c r="G16" s="21"/>
      <c r="H16" s="21"/>
      <c r="I16" s="21"/>
      <c r="J16" s="21"/>
      <c r="K16" s="22"/>
    </row>
    <row r="17" spans="1:10" s="253" customFormat="1" ht="39" customHeight="1">
      <c r="A17" s="250" t="s">
        <v>525</v>
      </c>
      <c r="B17" s="57"/>
      <c r="C17" s="521" t="s">
        <v>84</v>
      </c>
      <c r="D17" s="522"/>
      <c r="E17" s="522"/>
      <c r="F17" s="522"/>
      <c r="G17" s="251"/>
      <c r="H17" s="585" t="s">
        <v>702</v>
      </c>
      <c r="I17" s="585"/>
      <c r="J17" s="585"/>
    </row>
    <row r="18" spans="1:10" s="258" customFormat="1" ht="46.5" customHeight="1">
      <c r="A18" s="254" t="s">
        <v>68</v>
      </c>
      <c r="B18" s="255"/>
      <c r="C18" s="570" t="s">
        <v>69</v>
      </c>
      <c r="D18" s="570"/>
      <c r="E18" s="570"/>
      <c r="F18" s="570"/>
      <c r="G18" s="256"/>
      <c r="H18" s="563" t="s">
        <v>82</v>
      </c>
      <c r="I18" s="563"/>
      <c r="J18" s="563"/>
    </row>
    <row r="19" spans="1:10">
      <c r="A19" s="51"/>
    </row>
    <row r="20" spans="1:10">
      <c r="A20" s="51"/>
    </row>
    <row r="21" spans="1:10">
      <c r="A21" s="51"/>
    </row>
    <row r="22" spans="1:10">
      <c r="A22" s="51"/>
    </row>
    <row r="23" spans="1:10">
      <c r="A23" s="51"/>
    </row>
    <row r="24" spans="1:10">
      <c r="A24" s="51"/>
    </row>
    <row r="25" spans="1:10">
      <c r="A25" s="51"/>
    </row>
    <row r="26" spans="1:10">
      <c r="A26" s="51"/>
    </row>
    <row r="27" spans="1:10">
      <c r="A27" s="51"/>
    </row>
    <row r="28" spans="1:10">
      <c r="A28" s="51"/>
    </row>
    <row r="29" spans="1:10">
      <c r="A29" s="51"/>
    </row>
    <row r="30" spans="1:10">
      <c r="A30" s="51"/>
    </row>
    <row r="31" spans="1:10">
      <c r="A31" s="51"/>
    </row>
    <row r="32" spans="1:10">
      <c r="A32" s="51"/>
    </row>
    <row r="33" spans="1: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  <row r="40" spans="1:1">
      <c r="A40" s="51"/>
    </row>
    <row r="41" spans="1:1">
      <c r="A41" s="51"/>
    </row>
    <row r="42" spans="1:1">
      <c r="A42" s="51"/>
    </row>
    <row r="43" spans="1:1">
      <c r="A43" s="51"/>
    </row>
    <row r="44" spans="1:1">
      <c r="A44" s="51"/>
    </row>
    <row r="45" spans="1:1">
      <c r="A45" s="51"/>
    </row>
    <row r="46" spans="1:1">
      <c r="A46" s="51"/>
    </row>
    <row r="47" spans="1:1">
      <c r="A47" s="51"/>
    </row>
    <row r="48" spans="1:1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</sheetData>
  <sheetProtection algorithmName="SHA-512" hashValue="SN58Uo3OmS0UNmZmaw8mMZ643GejX0MzU3eM/refge7h7PcimP7LNHjJeC/iqYj2iRSqUwSIxBI9p3VQ9hlmng==" saltValue="b63ppKTvYkcHxk6xtRdbug==" spinCount="100000" sheet="1" objects="1" scenarios="1" selectLockedCells="1" selectUnlockedCells="1"/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0.59055118110236227" right="0.59055118110236227" top="0.98425196850393704" bottom="0.59055118110236227" header="0.19685039370078741" footer="0.31496062992125984"/>
  <pageSetup paperSize="9" scale="56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57"/>
  <sheetViews>
    <sheetView view="pageBreakPreview" zoomScale="75" zoomScaleNormal="100" zoomScaleSheetLayoutView="75" workbookViewId="0">
      <selection activeCell="T20" sqref="T20"/>
    </sheetView>
  </sheetViews>
  <sheetFormatPr defaultColWidth="9.109375" defaultRowHeight="18"/>
  <cols>
    <col min="1" max="1" width="67.6640625" style="16" customWidth="1"/>
    <col min="2" max="2" width="15.109375" style="247" customWidth="1"/>
    <col min="3" max="3" width="17.88671875" style="247" customWidth="1"/>
    <col min="4" max="4" width="17.5546875" style="247" customWidth="1"/>
    <col min="5" max="5" width="18.33203125" style="247" customWidth="1"/>
    <col min="6" max="6" width="16.109375" style="247" customWidth="1"/>
    <col min="7" max="10" width="14.44140625" style="16" customWidth="1"/>
    <col min="11" max="16384" width="9.109375" style="16"/>
  </cols>
  <sheetData>
    <row r="2" spans="1:10" ht="24.75" customHeight="1">
      <c r="A2" s="591" t="s">
        <v>411</v>
      </c>
      <c r="B2" s="591"/>
      <c r="C2" s="591"/>
      <c r="D2" s="591"/>
      <c r="E2" s="591"/>
      <c r="F2" s="591"/>
      <c r="G2" s="591"/>
      <c r="H2" s="591"/>
    </row>
    <row r="3" spans="1:10" ht="18.75" customHeight="1">
      <c r="A3" s="339"/>
      <c r="B3" s="259"/>
      <c r="C3" s="339"/>
      <c r="D3" s="339"/>
      <c r="E3" s="339"/>
      <c r="F3" s="259"/>
      <c r="G3" s="339"/>
      <c r="H3" s="339"/>
      <c r="I3" s="599" t="s">
        <v>316</v>
      </c>
      <c r="J3" s="599"/>
    </row>
    <row r="4" spans="1:10" ht="41.25" customHeight="1">
      <c r="A4" s="592" t="s">
        <v>164</v>
      </c>
      <c r="B4" s="594" t="s">
        <v>17</v>
      </c>
      <c r="C4" s="594" t="s">
        <v>673</v>
      </c>
      <c r="D4" s="594" t="s">
        <v>674</v>
      </c>
      <c r="E4" s="596" t="s">
        <v>675</v>
      </c>
      <c r="F4" s="598" t="s">
        <v>676</v>
      </c>
      <c r="G4" s="598" t="s">
        <v>329</v>
      </c>
      <c r="H4" s="598"/>
      <c r="I4" s="598"/>
      <c r="J4" s="598"/>
    </row>
    <row r="5" spans="1:10" ht="67.5" customHeight="1">
      <c r="A5" s="593"/>
      <c r="B5" s="595"/>
      <c r="C5" s="595"/>
      <c r="D5" s="595"/>
      <c r="E5" s="597"/>
      <c r="F5" s="598"/>
      <c r="G5" s="488" t="s">
        <v>126</v>
      </c>
      <c r="H5" s="488" t="s">
        <v>127</v>
      </c>
      <c r="I5" s="488" t="s">
        <v>128</v>
      </c>
      <c r="J5" s="488" t="s">
        <v>63</v>
      </c>
    </row>
    <row r="6" spans="1:10" ht="23.25" customHeight="1">
      <c r="A6" s="489">
        <v>1</v>
      </c>
      <c r="B6" s="487">
        <v>2</v>
      </c>
      <c r="C6" s="487">
        <v>3</v>
      </c>
      <c r="D6" s="487">
        <v>4</v>
      </c>
      <c r="E6" s="487">
        <v>5</v>
      </c>
      <c r="F6" s="487">
        <v>6</v>
      </c>
      <c r="G6" s="487">
        <v>7</v>
      </c>
      <c r="H6" s="487">
        <v>8</v>
      </c>
      <c r="I6" s="489">
        <v>9</v>
      </c>
      <c r="J6" s="489">
        <v>10</v>
      </c>
    </row>
    <row r="7" spans="1:10" ht="41.25" customHeight="1">
      <c r="A7" s="490" t="s">
        <v>73</v>
      </c>
      <c r="B7" s="491">
        <v>4000</v>
      </c>
      <c r="C7" s="492">
        <f>C8+C10+C20+C24+C26+C32</f>
        <v>1445</v>
      </c>
      <c r="D7" s="492">
        <f>D8+D10+D20+D24+D26+D32</f>
        <v>120</v>
      </c>
      <c r="E7" s="492">
        <f>D7</f>
        <v>120</v>
      </c>
      <c r="F7" s="492">
        <f>SUM(G7:J7)</f>
        <v>80</v>
      </c>
      <c r="G7" s="492">
        <f>G8+G10+G20+G24+G26+G32</f>
        <v>20</v>
      </c>
      <c r="H7" s="492">
        <f>H8+H10+H20+H24+H26+H32</f>
        <v>20</v>
      </c>
      <c r="I7" s="492">
        <f>I8+I10+I20+I24+I26+I32</f>
        <v>20</v>
      </c>
      <c r="J7" s="492">
        <f>J8+J10+J20+J24+J26+J32</f>
        <v>20</v>
      </c>
    </row>
    <row r="8" spans="1:10" ht="33" hidden="1" customHeight="1">
      <c r="A8" s="490" t="s">
        <v>1</v>
      </c>
      <c r="B8" s="491">
        <v>4010</v>
      </c>
      <c r="C8" s="492">
        <f>C9</f>
        <v>0</v>
      </c>
      <c r="D8" s="492">
        <f>D9</f>
        <v>0</v>
      </c>
      <c r="E8" s="492">
        <f t="shared" ref="E8:E32" si="0">D8</f>
        <v>0</v>
      </c>
      <c r="F8" s="492">
        <f>SUM(G8:J8)</f>
        <v>0</v>
      </c>
      <c r="G8" s="492">
        <f>G9</f>
        <v>0</v>
      </c>
      <c r="H8" s="492">
        <f>H9</f>
        <v>0</v>
      </c>
      <c r="I8" s="492">
        <f>I9</f>
        <v>0</v>
      </c>
      <c r="J8" s="492">
        <f>J9</f>
        <v>0</v>
      </c>
    </row>
    <row r="9" spans="1:10" ht="9" hidden="1" customHeight="1">
      <c r="A9" s="493"/>
      <c r="B9" s="491"/>
      <c r="C9" s="494"/>
      <c r="D9" s="494">
        <v>0</v>
      </c>
      <c r="E9" s="494">
        <f t="shared" si="0"/>
        <v>0</v>
      </c>
      <c r="F9" s="494">
        <f t="shared" ref="F9:F22" si="1">SUM(G9:J9)</f>
        <v>0</v>
      </c>
      <c r="G9" s="494"/>
      <c r="H9" s="494"/>
      <c r="I9" s="495"/>
      <c r="J9" s="495"/>
    </row>
    <row r="10" spans="1:10" s="343" customFormat="1" ht="34.5" customHeight="1">
      <c r="A10" s="490" t="s">
        <v>2</v>
      </c>
      <c r="B10" s="496">
        <v>4020</v>
      </c>
      <c r="C10" s="492">
        <f>SUM(C11:C19)</f>
        <v>582</v>
      </c>
      <c r="D10" s="492">
        <f>SUM(D11:D19)</f>
        <v>100</v>
      </c>
      <c r="E10" s="492">
        <f t="shared" si="0"/>
        <v>100</v>
      </c>
      <c r="F10" s="492">
        <f t="shared" si="1"/>
        <v>0</v>
      </c>
      <c r="G10" s="492">
        <f>SUM(G11:G19)</f>
        <v>0</v>
      </c>
      <c r="H10" s="492">
        <f>SUM(H11:H19)</f>
        <v>0</v>
      </c>
      <c r="I10" s="492">
        <f>SUM(I11:I19)</f>
        <v>0</v>
      </c>
      <c r="J10" s="492">
        <f>SUM(J11:J19)</f>
        <v>0</v>
      </c>
    </row>
    <row r="11" spans="1:10" s="343" customFormat="1" ht="25.5" customHeight="1">
      <c r="A11" s="497" t="s">
        <v>669</v>
      </c>
      <c r="B11" s="496"/>
      <c r="C11" s="494"/>
      <c r="D11" s="494">
        <v>100</v>
      </c>
      <c r="E11" s="494">
        <v>100</v>
      </c>
      <c r="F11" s="494">
        <f t="shared" ref="F11" si="2">SUM(G11:J11)</f>
        <v>0</v>
      </c>
      <c r="G11" s="494"/>
      <c r="H11" s="494"/>
      <c r="I11" s="494"/>
      <c r="J11" s="494"/>
    </row>
    <row r="12" spans="1:10" s="343" customFormat="1" ht="25.5" customHeight="1">
      <c r="A12" s="493" t="s">
        <v>681</v>
      </c>
      <c r="B12" s="496"/>
      <c r="C12" s="494">
        <v>582</v>
      </c>
      <c r="D12" s="494"/>
      <c r="E12" s="494"/>
      <c r="F12" s="494">
        <f t="shared" si="1"/>
        <v>0</v>
      </c>
      <c r="G12" s="494"/>
      <c r="H12" s="494"/>
      <c r="I12" s="495"/>
      <c r="J12" s="495"/>
    </row>
    <row r="13" spans="1:10" s="343" customFormat="1" ht="21.75" hidden="1" customHeight="1">
      <c r="A13" s="493" t="s">
        <v>435</v>
      </c>
      <c r="B13" s="496"/>
      <c r="C13" s="494"/>
      <c r="D13" s="494"/>
      <c r="E13" s="494">
        <f t="shared" si="0"/>
        <v>0</v>
      </c>
      <c r="F13" s="494"/>
      <c r="G13" s="494"/>
      <c r="H13" s="494"/>
      <c r="I13" s="495"/>
      <c r="J13" s="495"/>
    </row>
    <row r="14" spans="1:10" s="343" customFormat="1" ht="21.75" hidden="1" customHeight="1">
      <c r="A14" s="498" t="s">
        <v>436</v>
      </c>
      <c r="B14" s="496"/>
      <c r="C14" s="494"/>
      <c r="D14" s="494"/>
      <c r="E14" s="494">
        <f t="shared" si="0"/>
        <v>0</v>
      </c>
      <c r="F14" s="494"/>
      <c r="G14" s="494"/>
      <c r="H14" s="494"/>
      <c r="I14" s="495"/>
      <c r="J14" s="495"/>
    </row>
    <row r="15" spans="1:10" s="343" customFormat="1" ht="21.75" hidden="1" customHeight="1">
      <c r="A15" s="493" t="s">
        <v>615</v>
      </c>
      <c r="B15" s="496"/>
      <c r="C15" s="494"/>
      <c r="D15" s="494"/>
      <c r="E15" s="494">
        <f t="shared" si="0"/>
        <v>0</v>
      </c>
      <c r="F15" s="494"/>
      <c r="G15" s="494"/>
      <c r="H15" s="494"/>
      <c r="I15" s="495"/>
      <c r="J15" s="495"/>
    </row>
    <row r="16" spans="1:10" s="343" customFormat="1" ht="21.75" hidden="1" customHeight="1">
      <c r="A16" s="493" t="s">
        <v>616</v>
      </c>
      <c r="B16" s="496"/>
      <c r="C16" s="494"/>
      <c r="D16" s="494"/>
      <c r="E16" s="494">
        <f t="shared" si="0"/>
        <v>0</v>
      </c>
      <c r="F16" s="494"/>
      <c r="G16" s="494"/>
      <c r="H16" s="494"/>
      <c r="I16" s="495"/>
      <c r="J16" s="495"/>
    </row>
    <row r="17" spans="1:10" s="343" customFormat="1" ht="21.75" hidden="1" customHeight="1">
      <c r="A17" s="493" t="s">
        <v>566</v>
      </c>
      <c r="B17" s="496"/>
      <c r="C17" s="494"/>
      <c r="D17" s="494"/>
      <c r="E17" s="494">
        <f t="shared" si="0"/>
        <v>0</v>
      </c>
      <c r="F17" s="494">
        <f t="shared" si="1"/>
        <v>0</v>
      </c>
      <c r="G17" s="494"/>
      <c r="H17" s="494"/>
      <c r="I17" s="495"/>
      <c r="J17" s="495"/>
    </row>
    <row r="18" spans="1:10" s="343" customFormat="1" ht="21.75" hidden="1" customHeight="1">
      <c r="A18" s="493" t="s">
        <v>567</v>
      </c>
      <c r="B18" s="496"/>
      <c r="C18" s="494"/>
      <c r="D18" s="494">
        <v>0</v>
      </c>
      <c r="E18" s="494">
        <f t="shared" si="0"/>
        <v>0</v>
      </c>
      <c r="F18" s="494">
        <f t="shared" si="1"/>
        <v>0</v>
      </c>
      <c r="G18" s="494"/>
      <c r="H18" s="494"/>
      <c r="I18" s="495"/>
      <c r="J18" s="495"/>
    </row>
    <row r="19" spans="1:10" s="343" customFormat="1" ht="21.75" hidden="1" customHeight="1">
      <c r="A19" s="493" t="s">
        <v>568</v>
      </c>
      <c r="B19" s="496"/>
      <c r="C19" s="494"/>
      <c r="D19" s="494">
        <v>0</v>
      </c>
      <c r="E19" s="494">
        <f t="shared" si="0"/>
        <v>0</v>
      </c>
      <c r="F19" s="494">
        <f t="shared" si="1"/>
        <v>0</v>
      </c>
      <c r="G19" s="494"/>
      <c r="H19" s="494"/>
      <c r="I19" s="495"/>
      <c r="J19" s="495"/>
    </row>
    <row r="20" spans="1:10" s="343" customFormat="1" ht="42" customHeight="1">
      <c r="A20" s="490" t="s">
        <v>27</v>
      </c>
      <c r="B20" s="496">
        <v>4030</v>
      </c>
      <c r="C20" s="492">
        <f>SUM(C22:C23)</f>
        <v>846</v>
      </c>
      <c r="D20" s="492">
        <f t="shared" ref="D20:F20" si="3">SUM(D22:D23)</f>
        <v>20</v>
      </c>
      <c r="E20" s="492">
        <f t="shared" si="3"/>
        <v>20</v>
      </c>
      <c r="F20" s="492">
        <f t="shared" si="3"/>
        <v>80</v>
      </c>
      <c r="G20" s="492">
        <f>SUM(G21:G22)</f>
        <v>20</v>
      </c>
      <c r="H20" s="492">
        <f>SUM(H21:H22)</f>
        <v>20</v>
      </c>
      <c r="I20" s="492">
        <f>SUM(I21:I22)</f>
        <v>20</v>
      </c>
      <c r="J20" s="492">
        <f>SUM(J21:J22)</f>
        <v>20</v>
      </c>
    </row>
    <row r="21" spans="1:10" s="343" customFormat="1" ht="25.5" hidden="1" customHeight="1">
      <c r="A21" s="499" t="s">
        <v>438</v>
      </c>
      <c r="B21" s="496"/>
      <c r="C21" s="494"/>
      <c r="D21" s="494"/>
      <c r="E21" s="494">
        <f t="shared" si="0"/>
        <v>0</v>
      </c>
      <c r="F21" s="494">
        <f t="shared" si="1"/>
        <v>0</v>
      </c>
      <c r="G21" s="494"/>
      <c r="H21" s="494"/>
      <c r="I21" s="494"/>
      <c r="J21" s="494"/>
    </row>
    <row r="22" spans="1:10" s="343" customFormat="1" ht="25.5" customHeight="1">
      <c r="A22" s="493" t="s">
        <v>487</v>
      </c>
      <c r="B22" s="496"/>
      <c r="C22" s="494">
        <v>66</v>
      </c>
      <c r="D22" s="494">
        <v>20</v>
      </c>
      <c r="E22" s="494">
        <f t="shared" si="0"/>
        <v>20</v>
      </c>
      <c r="F22" s="494">
        <f t="shared" si="1"/>
        <v>80</v>
      </c>
      <c r="G22" s="494">
        <v>20</v>
      </c>
      <c r="H22" s="494">
        <v>20</v>
      </c>
      <c r="I22" s="494">
        <v>20</v>
      </c>
      <c r="J22" s="494">
        <v>20</v>
      </c>
    </row>
    <row r="23" spans="1:10" s="343" customFormat="1" ht="25.5" customHeight="1">
      <c r="A23" s="493" t="s">
        <v>682</v>
      </c>
      <c r="B23" s="496"/>
      <c r="C23" s="494">
        <v>780</v>
      </c>
      <c r="D23" s="494"/>
      <c r="E23" s="494"/>
      <c r="F23" s="494">
        <f t="shared" ref="F23:F32" si="4">SUM(G23:J23)</f>
        <v>0</v>
      </c>
      <c r="G23" s="494"/>
      <c r="H23" s="494"/>
      <c r="I23" s="494"/>
      <c r="J23" s="494"/>
    </row>
    <row r="24" spans="1:10" s="343" customFormat="1" ht="28.5" hidden="1" customHeight="1">
      <c r="A24" s="490" t="s">
        <v>3</v>
      </c>
      <c r="B24" s="496">
        <v>4040</v>
      </c>
      <c r="C24" s="492"/>
      <c r="D24" s="492"/>
      <c r="E24" s="492">
        <f t="shared" si="0"/>
        <v>0</v>
      </c>
      <c r="F24" s="492">
        <f t="shared" si="4"/>
        <v>0</v>
      </c>
      <c r="G24" s="492"/>
      <c r="H24" s="492"/>
      <c r="I24" s="500"/>
      <c r="J24" s="500"/>
    </row>
    <row r="25" spans="1:10" s="343" customFormat="1" ht="28.5" hidden="1" customHeight="1">
      <c r="A25" s="493" t="s">
        <v>520</v>
      </c>
      <c r="B25" s="496"/>
      <c r="C25" s="494"/>
      <c r="D25" s="494"/>
      <c r="E25" s="494"/>
      <c r="F25" s="494"/>
      <c r="G25" s="494"/>
      <c r="H25" s="494"/>
      <c r="I25" s="495"/>
      <c r="J25" s="495"/>
    </row>
    <row r="26" spans="1:10" s="343" customFormat="1" ht="43.5" customHeight="1">
      <c r="A26" s="490" t="s">
        <v>59</v>
      </c>
      <c r="B26" s="496">
        <v>4050</v>
      </c>
      <c r="C26" s="492">
        <f>SUM(C28:C31)</f>
        <v>17</v>
      </c>
      <c r="D26" s="492">
        <f t="shared" ref="D26:J26" si="5">D28</f>
        <v>0</v>
      </c>
      <c r="E26" s="492">
        <f t="shared" si="0"/>
        <v>0</v>
      </c>
      <c r="F26" s="492">
        <f t="shared" si="4"/>
        <v>0</v>
      </c>
      <c r="G26" s="492">
        <f t="shared" si="5"/>
        <v>0</v>
      </c>
      <c r="H26" s="492">
        <f t="shared" si="5"/>
        <v>0</v>
      </c>
      <c r="I26" s="492">
        <f t="shared" si="5"/>
        <v>0</v>
      </c>
      <c r="J26" s="492">
        <f t="shared" si="5"/>
        <v>0</v>
      </c>
    </row>
    <row r="27" spans="1:10" s="343" customFormat="1" ht="26.25" customHeight="1">
      <c r="A27" s="493" t="s">
        <v>518</v>
      </c>
      <c r="B27" s="496"/>
      <c r="C27" s="494">
        <v>10</v>
      </c>
      <c r="D27" s="494"/>
      <c r="E27" s="494"/>
      <c r="F27" s="494">
        <f>SUM(G27:J27)</f>
        <v>0</v>
      </c>
      <c r="G27" s="494"/>
      <c r="H27" s="494"/>
      <c r="I27" s="495"/>
      <c r="J27" s="495"/>
    </row>
    <row r="28" spans="1:10" s="343" customFormat="1" ht="26.25" customHeight="1">
      <c r="A28" s="493" t="s">
        <v>571</v>
      </c>
      <c r="B28" s="496"/>
      <c r="C28" s="494">
        <v>17</v>
      </c>
      <c r="D28" s="494"/>
      <c r="E28" s="494"/>
      <c r="F28" s="494">
        <f t="shared" si="4"/>
        <v>0</v>
      </c>
      <c r="G28" s="494"/>
      <c r="H28" s="494"/>
      <c r="I28" s="495"/>
      <c r="J28" s="495"/>
    </row>
    <row r="29" spans="1:10" s="343" customFormat="1" ht="26.25" hidden="1" customHeight="1">
      <c r="A29" s="493" t="s">
        <v>517</v>
      </c>
      <c r="B29" s="496"/>
      <c r="C29" s="494"/>
      <c r="D29" s="494"/>
      <c r="E29" s="494"/>
      <c r="F29" s="494">
        <f t="shared" si="4"/>
        <v>0</v>
      </c>
      <c r="G29" s="494"/>
      <c r="H29" s="494"/>
      <c r="I29" s="495"/>
      <c r="J29" s="495"/>
    </row>
    <row r="31" spans="1:10" s="343" customFormat="1" ht="24.75" hidden="1" customHeight="1">
      <c r="A31" s="20" t="s">
        <v>614</v>
      </c>
      <c r="B31" s="148"/>
      <c r="C31" s="135"/>
      <c r="D31" s="135"/>
      <c r="E31" s="135"/>
      <c r="F31" s="135"/>
      <c r="G31" s="135"/>
      <c r="H31" s="135"/>
      <c r="I31" s="136"/>
      <c r="J31" s="136"/>
    </row>
    <row r="32" spans="1:10" s="343" customFormat="1" ht="9.75" hidden="1" customHeight="1">
      <c r="A32" s="358" t="s">
        <v>268</v>
      </c>
      <c r="B32" s="148">
        <v>4060</v>
      </c>
      <c r="C32" s="135"/>
      <c r="D32" s="135"/>
      <c r="E32" s="135">
        <f t="shared" si="0"/>
        <v>0</v>
      </c>
      <c r="F32" s="135">
        <f t="shared" si="4"/>
        <v>0</v>
      </c>
      <c r="G32" s="135"/>
      <c r="H32" s="135"/>
      <c r="I32" s="135"/>
      <c r="J32" s="135"/>
    </row>
    <row r="33" spans="1:9" ht="36" customHeight="1">
      <c r="A33" s="346"/>
      <c r="C33" s="347"/>
      <c r="D33" s="260"/>
      <c r="E33" s="260"/>
      <c r="F33" s="260"/>
      <c r="G33" s="260"/>
      <c r="H33" s="260"/>
    </row>
    <row r="34" spans="1:9" s="504" customFormat="1" ht="26.25" customHeight="1">
      <c r="A34" s="501" t="s">
        <v>525</v>
      </c>
      <c r="B34" s="502"/>
      <c r="C34" s="600" t="s">
        <v>84</v>
      </c>
      <c r="D34" s="600"/>
      <c r="E34" s="600"/>
      <c r="F34" s="503"/>
      <c r="G34" s="590" t="s">
        <v>702</v>
      </c>
      <c r="H34" s="590"/>
      <c r="I34" s="590"/>
    </row>
    <row r="35" spans="1:9">
      <c r="A35" s="445" t="s">
        <v>365</v>
      </c>
      <c r="B35" s="16"/>
      <c r="C35" s="519" t="s">
        <v>69</v>
      </c>
      <c r="D35" s="519"/>
      <c r="E35" s="519"/>
      <c r="F35" s="16"/>
      <c r="G35" s="520" t="s">
        <v>82</v>
      </c>
      <c r="H35" s="520"/>
      <c r="I35" s="520"/>
    </row>
    <row r="36" spans="1:9">
      <c r="A36" s="346"/>
      <c r="C36" s="347"/>
      <c r="D36" s="260"/>
      <c r="E36" s="260"/>
      <c r="F36" s="260"/>
      <c r="G36" s="260"/>
      <c r="H36" s="260"/>
    </row>
    <row r="37" spans="1:9">
      <c r="A37" s="346"/>
      <c r="C37" s="347"/>
      <c r="D37" s="260"/>
      <c r="E37" s="260"/>
      <c r="F37" s="260"/>
      <c r="G37" s="260"/>
      <c r="H37" s="260"/>
    </row>
    <row r="38" spans="1:9">
      <c r="A38" s="346"/>
      <c r="C38" s="347"/>
      <c r="D38" s="260"/>
      <c r="E38" s="260"/>
      <c r="F38" s="260"/>
      <c r="G38" s="260"/>
      <c r="H38" s="260"/>
    </row>
    <row r="39" spans="1:9">
      <c r="A39" s="346"/>
      <c r="C39" s="347"/>
      <c r="D39" s="260"/>
      <c r="E39" s="260"/>
      <c r="F39" s="260"/>
      <c r="G39" s="260"/>
      <c r="H39" s="260"/>
    </row>
    <row r="40" spans="1:9">
      <c r="A40" s="346"/>
      <c r="C40" s="347"/>
      <c r="D40" s="260"/>
      <c r="E40" s="260"/>
      <c r="F40" s="260"/>
      <c r="G40" s="260"/>
      <c r="H40" s="260"/>
    </row>
    <row r="41" spans="1:9">
      <c r="A41" s="346"/>
      <c r="C41" s="347"/>
      <c r="D41" s="260"/>
      <c r="E41" s="260"/>
      <c r="F41" s="260"/>
      <c r="G41" s="260"/>
      <c r="H41" s="260"/>
    </row>
    <row r="42" spans="1:9">
      <c r="A42" s="346"/>
      <c r="C42" s="347"/>
      <c r="D42" s="260"/>
      <c r="E42" s="260"/>
      <c r="F42" s="260"/>
      <c r="G42" s="260"/>
      <c r="H42" s="260"/>
    </row>
    <row r="43" spans="1:9">
      <c r="A43" s="346"/>
      <c r="C43" s="347"/>
      <c r="D43" s="260"/>
      <c r="E43" s="260"/>
      <c r="F43" s="260"/>
      <c r="G43" s="260"/>
      <c r="H43" s="260"/>
    </row>
    <row r="44" spans="1:9">
      <c r="A44" s="346"/>
      <c r="C44" s="347"/>
      <c r="D44" s="260"/>
      <c r="E44" s="260"/>
      <c r="F44" s="260"/>
      <c r="G44" s="260"/>
      <c r="H44" s="260"/>
    </row>
    <row r="45" spans="1:9">
      <c r="A45" s="346"/>
      <c r="C45" s="347"/>
      <c r="D45" s="260"/>
      <c r="E45" s="260"/>
      <c r="F45" s="260"/>
      <c r="G45" s="260"/>
      <c r="H45" s="260"/>
    </row>
    <row r="46" spans="1:9">
      <c r="A46" s="346"/>
      <c r="C46" s="347"/>
      <c r="D46" s="260"/>
      <c r="E46" s="260"/>
      <c r="F46" s="260"/>
      <c r="G46" s="260"/>
      <c r="H46" s="260"/>
    </row>
    <row r="47" spans="1:9">
      <c r="A47" s="346"/>
      <c r="C47" s="347"/>
      <c r="D47" s="260"/>
      <c r="E47" s="260"/>
      <c r="F47" s="260"/>
      <c r="G47" s="260"/>
      <c r="H47" s="260"/>
    </row>
    <row r="48" spans="1:9">
      <c r="A48" s="346"/>
      <c r="C48" s="347"/>
      <c r="D48" s="260"/>
      <c r="E48" s="260"/>
      <c r="F48" s="260"/>
      <c r="G48" s="260"/>
      <c r="H48" s="260"/>
    </row>
    <row r="49" spans="1:8">
      <c r="A49" s="346"/>
      <c r="C49" s="347"/>
      <c r="D49" s="260"/>
      <c r="E49" s="260"/>
      <c r="F49" s="260"/>
      <c r="G49" s="260"/>
      <c r="H49" s="260"/>
    </row>
    <row r="50" spans="1:8">
      <c r="A50" s="346"/>
      <c r="C50" s="347"/>
      <c r="D50" s="260"/>
      <c r="E50" s="260"/>
      <c r="F50" s="260"/>
      <c r="G50" s="260"/>
      <c r="H50" s="260"/>
    </row>
    <row r="51" spans="1:8">
      <c r="A51" s="346"/>
      <c r="C51" s="347"/>
      <c r="D51" s="260"/>
      <c r="E51" s="260"/>
      <c r="F51" s="260"/>
      <c r="G51" s="260"/>
      <c r="H51" s="260"/>
    </row>
    <row r="52" spans="1:8">
      <c r="A52" s="346"/>
      <c r="C52" s="347"/>
      <c r="D52" s="260"/>
      <c r="E52" s="260"/>
      <c r="F52" s="260"/>
      <c r="G52" s="260"/>
      <c r="H52" s="260"/>
    </row>
    <row r="53" spans="1:8">
      <c r="A53" s="346"/>
      <c r="C53" s="347"/>
      <c r="D53" s="260"/>
      <c r="E53" s="260"/>
      <c r="F53" s="260"/>
      <c r="G53" s="260"/>
      <c r="H53" s="260"/>
    </row>
    <row r="54" spans="1:8">
      <c r="A54" s="346"/>
      <c r="C54" s="347"/>
      <c r="D54" s="260"/>
      <c r="E54" s="260"/>
      <c r="F54" s="260"/>
      <c r="G54" s="260"/>
      <c r="H54" s="260"/>
    </row>
    <row r="55" spans="1:8">
      <c r="A55" s="346"/>
      <c r="C55" s="347"/>
      <c r="D55" s="260"/>
      <c r="E55" s="260"/>
      <c r="F55" s="260"/>
      <c r="G55" s="260"/>
      <c r="H55" s="260"/>
    </row>
    <row r="56" spans="1:8">
      <c r="A56" s="346"/>
      <c r="C56" s="347"/>
      <c r="D56" s="260"/>
      <c r="E56" s="260"/>
      <c r="F56" s="260"/>
      <c r="G56" s="260"/>
      <c r="H56" s="260"/>
    </row>
    <row r="57" spans="1:8">
      <c r="A57" s="346"/>
      <c r="C57" s="347"/>
      <c r="D57" s="260"/>
      <c r="E57" s="260"/>
      <c r="F57" s="260"/>
      <c r="G57" s="260"/>
      <c r="H57" s="260"/>
    </row>
    <row r="58" spans="1:8">
      <c r="A58" s="346"/>
      <c r="C58" s="347"/>
      <c r="D58" s="260"/>
      <c r="E58" s="260"/>
      <c r="F58" s="260"/>
      <c r="G58" s="260"/>
      <c r="H58" s="260"/>
    </row>
    <row r="59" spans="1:8">
      <c r="A59" s="346"/>
      <c r="C59" s="347"/>
      <c r="D59" s="260"/>
      <c r="E59" s="260"/>
      <c r="F59" s="260"/>
      <c r="G59" s="260"/>
      <c r="H59" s="260"/>
    </row>
    <row r="60" spans="1:8">
      <c r="A60" s="346"/>
      <c r="C60" s="347"/>
      <c r="D60" s="260"/>
      <c r="E60" s="260"/>
      <c r="F60" s="260"/>
      <c r="G60" s="260"/>
      <c r="H60" s="260"/>
    </row>
    <row r="61" spans="1:8">
      <c r="A61" s="346"/>
      <c r="C61" s="347"/>
      <c r="D61" s="260"/>
      <c r="E61" s="260"/>
      <c r="F61" s="260"/>
      <c r="G61" s="260"/>
      <c r="H61" s="260"/>
    </row>
    <row r="62" spans="1:8">
      <c r="A62" s="346"/>
      <c r="C62" s="347"/>
      <c r="D62" s="260"/>
      <c r="E62" s="260"/>
      <c r="F62" s="260"/>
      <c r="G62" s="260"/>
      <c r="H62" s="260"/>
    </row>
    <row r="63" spans="1:8">
      <c r="A63" s="346"/>
      <c r="C63" s="347"/>
      <c r="D63" s="260"/>
      <c r="E63" s="260"/>
      <c r="F63" s="260"/>
      <c r="G63" s="260"/>
      <c r="H63" s="260"/>
    </row>
    <row r="64" spans="1:8">
      <c r="A64" s="346"/>
      <c r="C64" s="347"/>
      <c r="D64" s="260"/>
      <c r="E64" s="260"/>
      <c r="F64" s="260"/>
      <c r="G64" s="260"/>
      <c r="H64" s="260"/>
    </row>
    <row r="65" spans="1:8">
      <c r="A65" s="346"/>
      <c r="C65" s="347"/>
      <c r="D65" s="260"/>
      <c r="E65" s="260"/>
      <c r="F65" s="260"/>
      <c r="G65" s="260"/>
      <c r="H65" s="260"/>
    </row>
    <row r="66" spans="1:8">
      <c r="A66" s="346"/>
      <c r="C66" s="347"/>
      <c r="D66" s="260"/>
      <c r="E66" s="260"/>
      <c r="F66" s="260"/>
      <c r="G66" s="260"/>
      <c r="H66" s="260"/>
    </row>
    <row r="67" spans="1:8">
      <c r="A67" s="346"/>
      <c r="C67" s="347"/>
      <c r="D67" s="260"/>
      <c r="E67" s="260"/>
      <c r="F67" s="260"/>
      <c r="G67" s="260"/>
      <c r="H67" s="260"/>
    </row>
    <row r="68" spans="1:8">
      <c r="A68" s="346"/>
      <c r="C68" s="347"/>
      <c r="D68" s="260"/>
      <c r="E68" s="260"/>
      <c r="F68" s="260"/>
      <c r="G68" s="260"/>
      <c r="H68" s="260"/>
    </row>
    <row r="69" spans="1:8">
      <c r="A69" s="346"/>
      <c r="C69" s="347"/>
      <c r="D69" s="260"/>
      <c r="E69" s="260"/>
      <c r="F69" s="260"/>
      <c r="G69" s="260"/>
      <c r="H69" s="260"/>
    </row>
    <row r="70" spans="1:8">
      <c r="A70" s="346"/>
      <c r="C70" s="347"/>
      <c r="D70" s="260"/>
      <c r="E70" s="260"/>
      <c r="F70" s="260"/>
      <c r="G70" s="260"/>
      <c r="H70" s="260"/>
    </row>
    <row r="71" spans="1:8">
      <c r="A71" s="346"/>
      <c r="C71" s="347"/>
      <c r="D71" s="260"/>
      <c r="E71" s="260"/>
      <c r="F71" s="260"/>
      <c r="G71" s="260"/>
      <c r="H71" s="260"/>
    </row>
    <row r="72" spans="1:8">
      <c r="A72" s="346"/>
      <c r="C72" s="347"/>
      <c r="D72" s="260"/>
      <c r="E72" s="260"/>
      <c r="F72" s="260"/>
      <c r="G72" s="260"/>
      <c r="H72" s="260"/>
    </row>
    <row r="73" spans="1:8">
      <c r="A73" s="346"/>
      <c r="C73" s="347"/>
      <c r="D73" s="260"/>
      <c r="E73" s="260"/>
      <c r="F73" s="260"/>
      <c r="G73" s="260"/>
      <c r="H73" s="260"/>
    </row>
    <row r="74" spans="1:8">
      <c r="A74" s="346"/>
      <c r="C74" s="347"/>
      <c r="D74" s="260"/>
      <c r="E74" s="260"/>
      <c r="F74" s="260"/>
      <c r="G74" s="260"/>
      <c r="H74" s="260"/>
    </row>
    <row r="75" spans="1:8">
      <c r="A75" s="346"/>
      <c r="C75" s="347"/>
      <c r="D75" s="260"/>
      <c r="E75" s="260"/>
      <c r="F75" s="260"/>
      <c r="G75" s="260"/>
      <c r="H75" s="260"/>
    </row>
    <row r="76" spans="1:8">
      <c r="A76" s="346"/>
      <c r="C76" s="347"/>
      <c r="D76" s="260"/>
      <c r="E76" s="260"/>
      <c r="F76" s="260"/>
      <c r="G76" s="260"/>
      <c r="H76" s="260"/>
    </row>
    <row r="77" spans="1:8">
      <c r="A77" s="346"/>
      <c r="C77" s="347"/>
      <c r="D77" s="260"/>
      <c r="E77" s="260"/>
      <c r="F77" s="260"/>
      <c r="G77" s="260"/>
      <c r="H77" s="260"/>
    </row>
    <row r="78" spans="1:8">
      <c r="A78" s="346"/>
      <c r="C78" s="347"/>
      <c r="D78" s="260"/>
      <c r="E78" s="260"/>
      <c r="F78" s="260"/>
      <c r="G78" s="260"/>
      <c r="H78" s="260"/>
    </row>
    <row r="79" spans="1:8">
      <c r="A79" s="346"/>
      <c r="C79" s="347"/>
      <c r="D79" s="260"/>
      <c r="E79" s="260"/>
      <c r="F79" s="260"/>
      <c r="G79" s="260"/>
      <c r="H79" s="260"/>
    </row>
    <row r="80" spans="1:8">
      <c r="A80" s="346"/>
      <c r="C80" s="347"/>
      <c r="D80" s="260"/>
      <c r="E80" s="260"/>
      <c r="F80" s="260"/>
      <c r="G80" s="260"/>
      <c r="H80" s="260"/>
    </row>
    <row r="81" spans="1:8">
      <c r="A81" s="346"/>
      <c r="C81" s="347"/>
      <c r="D81" s="260"/>
      <c r="E81" s="260"/>
      <c r="F81" s="260"/>
      <c r="G81" s="260"/>
      <c r="H81" s="260"/>
    </row>
    <row r="82" spans="1:8">
      <c r="A82" s="346"/>
      <c r="C82" s="347"/>
      <c r="D82" s="260"/>
      <c r="E82" s="260"/>
      <c r="F82" s="260"/>
      <c r="G82" s="260"/>
      <c r="H82" s="260"/>
    </row>
    <row r="83" spans="1:8">
      <c r="A83" s="346"/>
      <c r="C83" s="347"/>
      <c r="D83" s="260"/>
      <c r="E83" s="260"/>
      <c r="F83" s="260"/>
      <c r="G83" s="260"/>
      <c r="H83" s="260"/>
    </row>
    <row r="84" spans="1:8">
      <c r="A84" s="346"/>
      <c r="C84" s="347"/>
      <c r="D84" s="260"/>
      <c r="E84" s="260"/>
      <c r="F84" s="260"/>
      <c r="G84" s="260"/>
      <c r="H84" s="260"/>
    </row>
    <row r="85" spans="1:8">
      <c r="A85" s="346"/>
      <c r="C85" s="347"/>
      <c r="D85" s="260"/>
      <c r="E85" s="260"/>
      <c r="F85" s="260"/>
      <c r="G85" s="260"/>
      <c r="H85" s="260"/>
    </row>
    <row r="86" spans="1:8">
      <c r="A86" s="346"/>
      <c r="C86" s="347"/>
      <c r="D86" s="260"/>
      <c r="E86" s="260"/>
      <c r="F86" s="260"/>
      <c r="G86" s="260"/>
      <c r="H86" s="260"/>
    </row>
    <row r="87" spans="1:8">
      <c r="A87" s="346"/>
      <c r="C87" s="347"/>
      <c r="D87" s="260"/>
      <c r="E87" s="260"/>
      <c r="F87" s="260"/>
      <c r="G87" s="260"/>
      <c r="H87" s="260"/>
    </row>
    <row r="88" spans="1:8">
      <c r="A88" s="346"/>
      <c r="C88" s="347"/>
      <c r="D88" s="260"/>
      <c r="E88" s="260"/>
      <c r="F88" s="260"/>
      <c r="G88" s="260"/>
      <c r="H88" s="260"/>
    </row>
    <row r="89" spans="1:8">
      <c r="A89" s="346"/>
      <c r="C89" s="347"/>
      <c r="D89" s="260"/>
      <c r="E89" s="260"/>
      <c r="F89" s="260"/>
      <c r="G89" s="260"/>
      <c r="H89" s="260"/>
    </row>
    <row r="90" spans="1:8">
      <c r="A90" s="346"/>
    </row>
    <row r="91" spans="1:8">
      <c r="A91" s="349"/>
    </row>
    <row r="92" spans="1:8">
      <c r="A92" s="349"/>
    </row>
    <row r="93" spans="1:8">
      <c r="A93" s="349"/>
    </row>
    <row r="94" spans="1:8">
      <c r="A94" s="349"/>
    </row>
    <row r="95" spans="1:8">
      <c r="A95" s="349"/>
    </row>
    <row r="96" spans="1:8">
      <c r="A96" s="349"/>
    </row>
    <row r="97" spans="1:1">
      <c r="A97" s="349"/>
    </row>
    <row r="98" spans="1:1">
      <c r="A98" s="349"/>
    </row>
    <row r="99" spans="1:1">
      <c r="A99" s="349"/>
    </row>
    <row r="100" spans="1:1">
      <c r="A100" s="349"/>
    </row>
    <row r="101" spans="1:1">
      <c r="A101" s="349"/>
    </row>
    <row r="102" spans="1:1">
      <c r="A102" s="349"/>
    </row>
    <row r="103" spans="1:1">
      <c r="A103" s="349"/>
    </row>
    <row r="104" spans="1:1">
      <c r="A104" s="349"/>
    </row>
    <row r="105" spans="1:1">
      <c r="A105" s="349"/>
    </row>
    <row r="106" spans="1:1">
      <c r="A106" s="349"/>
    </row>
    <row r="107" spans="1:1">
      <c r="A107" s="349"/>
    </row>
    <row r="108" spans="1:1">
      <c r="A108" s="349"/>
    </row>
    <row r="109" spans="1:1">
      <c r="A109" s="349"/>
    </row>
    <row r="110" spans="1:1">
      <c r="A110" s="349"/>
    </row>
    <row r="111" spans="1:1">
      <c r="A111" s="349"/>
    </row>
    <row r="112" spans="1:1">
      <c r="A112" s="349"/>
    </row>
    <row r="113" spans="1:1">
      <c r="A113" s="349"/>
    </row>
    <row r="114" spans="1:1">
      <c r="A114" s="349"/>
    </row>
    <row r="115" spans="1:1">
      <c r="A115" s="349"/>
    </row>
    <row r="116" spans="1:1">
      <c r="A116" s="349"/>
    </row>
    <row r="117" spans="1:1">
      <c r="A117" s="349"/>
    </row>
    <row r="118" spans="1:1">
      <c r="A118" s="349"/>
    </row>
    <row r="119" spans="1:1">
      <c r="A119" s="349"/>
    </row>
    <row r="120" spans="1:1">
      <c r="A120" s="349"/>
    </row>
    <row r="121" spans="1:1">
      <c r="A121" s="349"/>
    </row>
    <row r="122" spans="1:1">
      <c r="A122" s="349"/>
    </row>
    <row r="123" spans="1:1">
      <c r="A123" s="349"/>
    </row>
    <row r="124" spans="1:1">
      <c r="A124" s="349"/>
    </row>
    <row r="125" spans="1:1">
      <c r="A125" s="349"/>
    </row>
    <row r="126" spans="1:1">
      <c r="A126" s="349"/>
    </row>
    <row r="127" spans="1:1">
      <c r="A127" s="349"/>
    </row>
    <row r="128" spans="1:1">
      <c r="A128" s="349"/>
    </row>
    <row r="129" spans="1:1">
      <c r="A129" s="349"/>
    </row>
    <row r="130" spans="1:1">
      <c r="A130" s="349"/>
    </row>
    <row r="131" spans="1:1">
      <c r="A131" s="349"/>
    </row>
    <row r="132" spans="1:1">
      <c r="A132" s="349"/>
    </row>
    <row r="133" spans="1:1">
      <c r="A133" s="349"/>
    </row>
    <row r="134" spans="1:1">
      <c r="A134" s="349"/>
    </row>
    <row r="135" spans="1:1">
      <c r="A135" s="349"/>
    </row>
    <row r="136" spans="1:1">
      <c r="A136" s="349"/>
    </row>
    <row r="137" spans="1:1">
      <c r="A137" s="349"/>
    </row>
    <row r="138" spans="1:1">
      <c r="A138" s="349"/>
    </row>
    <row r="139" spans="1:1">
      <c r="A139" s="349"/>
    </row>
    <row r="140" spans="1:1">
      <c r="A140" s="349"/>
    </row>
    <row r="141" spans="1:1">
      <c r="A141" s="349"/>
    </row>
    <row r="142" spans="1:1">
      <c r="A142" s="349"/>
    </row>
    <row r="143" spans="1:1">
      <c r="A143" s="349"/>
    </row>
    <row r="144" spans="1:1">
      <c r="A144" s="349"/>
    </row>
    <row r="145" spans="1:1">
      <c r="A145" s="349"/>
    </row>
    <row r="146" spans="1:1">
      <c r="A146" s="349"/>
    </row>
    <row r="147" spans="1:1">
      <c r="A147" s="349"/>
    </row>
    <row r="148" spans="1:1">
      <c r="A148" s="349"/>
    </row>
    <row r="149" spans="1:1">
      <c r="A149" s="349"/>
    </row>
    <row r="150" spans="1:1">
      <c r="A150" s="349"/>
    </row>
    <row r="151" spans="1:1">
      <c r="A151" s="349"/>
    </row>
    <row r="152" spans="1:1">
      <c r="A152" s="349"/>
    </row>
    <row r="153" spans="1:1">
      <c r="A153" s="349"/>
    </row>
    <row r="154" spans="1:1">
      <c r="A154" s="349"/>
    </row>
    <row r="155" spans="1:1">
      <c r="A155" s="349"/>
    </row>
    <row r="156" spans="1:1">
      <c r="A156" s="349"/>
    </row>
    <row r="157" spans="1:1">
      <c r="A157" s="349"/>
    </row>
    <row r="158" spans="1:1">
      <c r="A158" s="349"/>
    </row>
    <row r="159" spans="1:1">
      <c r="A159" s="349"/>
    </row>
    <row r="160" spans="1:1">
      <c r="A160" s="349"/>
    </row>
    <row r="161" spans="1:1">
      <c r="A161" s="349"/>
    </row>
    <row r="162" spans="1:1">
      <c r="A162" s="349"/>
    </row>
    <row r="163" spans="1:1">
      <c r="A163" s="349"/>
    </row>
    <row r="164" spans="1:1">
      <c r="A164" s="349"/>
    </row>
    <row r="165" spans="1:1">
      <c r="A165" s="349"/>
    </row>
    <row r="166" spans="1:1">
      <c r="A166" s="349"/>
    </row>
    <row r="167" spans="1:1">
      <c r="A167" s="349"/>
    </row>
    <row r="168" spans="1:1">
      <c r="A168" s="349"/>
    </row>
    <row r="169" spans="1:1">
      <c r="A169" s="349"/>
    </row>
    <row r="170" spans="1:1">
      <c r="A170" s="349"/>
    </row>
    <row r="171" spans="1:1">
      <c r="A171" s="349"/>
    </row>
    <row r="172" spans="1:1">
      <c r="A172" s="349"/>
    </row>
    <row r="173" spans="1:1">
      <c r="A173" s="349"/>
    </row>
    <row r="174" spans="1:1">
      <c r="A174" s="349"/>
    </row>
    <row r="175" spans="1:1">
      <c r="A175" s="349"/>
    </row>
    <row r="176" spans="1:1">
      <c r="A176" s="349"/>
    </row>
    <row r="177" spans="1:1">
      <c r="A177" s="349"/>
    </row>
    <row r="178" spans="1:1">
      <c r="A178" s="349"/>
    </row>
    <row r="179" spans="1:1">
      <c r="A179" s="349"/>
    </row>
    <row r="180" spans="1:1">
      <c r="A180" s="349"/>
    </row>
    <row r="181" spans="1:1">
      <c r="A181" s="349"/>
    </row>
    <row r="182" spans="1:1">
      <c r="A182" s="349"/>
    </row>
    <row r="183" spans="1:1">
      <c r="A183" s="349"/>
    </row>
    <row r="184" spans="1:1">
      <c r="A184" s="349"/>
    </row>
    <row r="185" spans="1:1">
      <c r="A185" s="349"/>
    </row>
    <row r="186" spans="1:1">
      <c r="A186" s="349"/>
    </row>
    <row r="187" spans="1:1">
      <c r="A187" s="349"/>
    </row>
    <row r="188" spans="1:1">
      <c r="A188" s="349"/>
    </row>
    <row r="189" spans="1:1">
      <c r="A189" s="349"/>
    </row>
    <row r="190" spans="1:1">
      <c r="A190" s="349"/>
    </row>
    <row r="191" spans="1:1">
      <c r="A191" s="349"/>
    </row>
    <row r="192" spans="1:1">
      <c r="A192" s="349"/>
    </row>
    <row r="193" spans="1:1">
      <c r="A193" s="349"/>
    </row>
    <row r="194" spans="1:1">
      <c r="A194" s="349"/>
    </row>
    <row r="195" spans="1:1">
      <c r="A195" s="349"/>
    </row>
    <row r="196" spans="1:1">
      <c r="A196" s="349"/>
    </row>
    <row r="197" spans="1:1">
      <c r="A197" s="349"/>
    </row>
    <row r="198" spans="1:1">
      <c r="A198" s="349"/>
    </row>
    <row r="199" spans="1:1">
      <c r="A199" s="349"/>
    </row>
    <row r="200" spans="1:1">
      <c r="A200" s="349"/>
    </row>
    <row r="201" spans="1:1">
      <c r="A201" s="349"/>
    </row>
    <row r="202" spans="1:1">
      <c r="A202" s="349"/>
    </row>
    <row r="203" spans="1:1">
      <c r="A203" s="349"/>
    </row>
    <row r="204" spans="1:1">
      <c r="A204" s="349"/>
    </row>
    <row r="205" spans="1:1">
      <c r="A205" s="349"/>
    </row>
    <row r="206" spans="1:1">
      <c r="A206" s="349"/>
    </row>
    <row r="207" spans="1:1">
      <c r="A207" s="349"/>
    </row>
    <row r="208" spans="1:1">
      <c r="A208" s="349"/>
    </row>
    <row r="209" spans="1:1">
      <c r="A209" s="349"/>
    </row>
    <row r="210" spans="1:1">
      <c r="A210" s="349"/>
    </row>
    <row r="211" spans="1:1">
      <c r="A211" s="349"/>
    </row>
    <row r="212" spans="1:1">
      <c r="A212" s="349"/>
    </row>
    <row r="213" spans="1:1">
      <c r="A213" s="349"/>
    </row>
    <row r="214" spans="1:1">
      <c r="A214" s="349"/>
    </row>
    <row r="215" spans="1:1">
      <c r="A215" s="349"/>
    </row>
    <row r="216" spans="1:1">
      <c r="A216" s="349"/>
    </row>
    <row r="217" spans="1:1">
      <c r="A217" s="349"/>
    </row>
    <row r="218" spans="1:1">
      <c r="A218" s="349"/>
    </row>
    <row r="219" spans="1:1">
      <c r="A219" s="349"/>
    </row>
    <row r="220" spans="1:1">
      <c r="A220" s="349"/>
    </row>
    <row r="221" spans="1:1">
      <c r="A221" s="349"/>
    </row>
    <row r="222" spans="1:1">
      <c r="A222" s="349"/>
    </row>
    <row r="223" spans="1:1">
      <c r="A223" s="349"/>
    </row>
    <row r="224" spans="1:1">
      <c r="A224" s="349"/>
    </row>
    <row r="225" spans="1:1">
      <c r="A225" s="349"/>
    </row>
    <row r="226" spans="1:1">
      <c r="A226" s="349"/>
    </row>
    <row r="227" spans="1:1">
      <c r="A227" s="349"/>
    </row>
    <row r="228" spans="1:1">
      <c r="A228" s="349"/>
    </row>
    <row r="229" spans="1:1">
      <c r="A229" s="349"/>
    </row>
    <row r="230" spans="1:1">
      <c r="A230" s="349"/>
    </row>
    <row r="231" spans="1:1">
      <c r="A231" s="349"/>
    </row>
    <row r="232" spans="1:1">
      <c r="A232" s="349"/>
    </row>
    <row r="233" spans="1:1">
      <c r="A233" s="349"/>
    </row>
    <row r="234" spans="1:1">
      <c r="A234" s="349"/>
    </row>
    <row r="235" spans="1:1">
      <c r="A235" s="349"/>
    </row>
    <row r="236" spans="1:1">
      <c r="A236" s="349"/>
    </row>
    <row r="237" spans="1:1">
      <c r="A237" s="349"/>
    </row>
    <row r="238" spans="1:1">
      <c r="A238" s="349"/>
    </row>
    <row r="239" spans="1:1">
      <c r="A239" s="349"/>
    </row>
    <row r="240" spans="1:1">
      <c r="A240" s="349"/>
    </row>
    <row r="241" spans="1:1">
      <c r="A241" s="349"/>
    </row>
    <row r="242" spans="1:1">
      <c r="A242" s="349"/>
    </row>
    <row r="243" spans="1:1">
      <c r="A243" s="349"/>
    </row>
    <row r="244" spans="1:1">
      <c r="A244" s="349"/>
    </row>
    <row r="245" spans="1:1">
      <c r="A245" s="349"/>
    </row>
    <row r="246" spans="1:1">
      <c r="A246" s="349"/>
    </row>
    <row r="247" spans="1:1">
      <c r="A247" s="349"/>
    </row>
    <row r="248" spans="1:1">
      <c r="A248" s="349"/>
    </row>
    <row r="249" spans="1:1">
      <c r="A249" s="349"/>
    </row>
    <row r="250" spans="1:1">
      <c r="A250" s="349"/>
    </row>
    <row r="251" spans="1:1">
      <c r="A251" s="349"/>
    </row>
    <row r="252" spans="1:1">
      <c r="A252" s="349"/>
    </row>
    <row r="253" spans="1:1">
      <c r="A253" s="349"/>
    </row>
    <row r="254" spans="1:1">
      <c r="A254" s="349"/>
    </row>
    <row r="255" spans="1:1">
      <c r="A255" s="349"/>
    </row>
    <row r="256" spans="1:1">
      <c r="A256" s="349"/>
    </row>
    <row r="257" spans="1:1">
      <c r="A257" s="349"/>
    </row>
  </sheetData>
  <sheetProtection algorithmName="SHA-512" hashValue="aA2sbmU+IKlMnCc9tiwH0BMJtcupxSYQeiXkyRZGasuMVMNObogtFU++uqoYvoWh0ljckIwhiVzk01P95RiS8g==" saltValue="1ZFkT+trLXPkwfvVo1NE+g==" spinCount="100000" sheet="1" objects="1" scenarios="1" selectLockedCells="1" selectUnlockedCells="1"/>
  <mergeCells count="13">
    <mergeCell ref="G34:I34"/>
    <mergeCell ref="G35:I35"/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C34:E34"/>
    <mergeCell ref="C35:E35"/>
  </mergeCells>
  <pageMargins left="0.59055118110236227" right="0.59055118110236227" top="0.98425196850393704" bottom="0.59055118110236227" header="0.15748031496062992" footer="0.15748031496062992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7"/>
  <sheetViews>
    <sheetView view="pageBreakPreview" topLeftCell="A8" zoomScale="55" zoomScaleNormal="75" zoomScaleSheetLayoutView="55" workbookViewId="0">
      <selection activeCell="T12" sqref="T12"/>
    </sheetView>
  </sheetViews>
  <sheetFormatPr defaultColWidth="9.109375" defaultRowHeight="13.2"/>
  <cols>
    <col min="1" max="1" width="101.109375" style="13" customWidth="1"/>
    <col min="2" max="2" width="19.44140625" style="13" customWidth="1"/>
    <col min="3" max="3" width="25" style="13" customWidth="1"/>
    <col min="4" max="4" width="20.6640625" style="13" customWidth="1"/>
    <col min="5" max="5" width="22.109375" style="13" customWidth="1"/>
    <col min="6" max="6" width="21" style="13" customWidth="1"/>
    <col min="7" max="7" width="24.44140625" style="13" customWidth="1"/>
    <col min="8" max="8" width="84.33203125" style="13" customWidth="1"/>
    <col min="9" max="9" width="9.5546875" style="13" customWidth="1"/>
    <col min="10" max="16384" width="9.109375" style="13"/>
  </cols>
  <sheetData>
    <row r="1" spans="1:8" ht="24.75" customHeight="1">
      <c r="H1" s="359" t="s">
        <v>350</v>
      </c>
    </row>
    <row r="2" spans="1:8" ht="25.5" customHeight="1">
      <c r="A2" s="601" t="s">
        <v>145</v>
      </c>
      <c r="B2" s="601"/>
      <c r="C2" s="601"/>
      <c r="D2" s="601"/>
      <c r="E2" s="601"/>
      <c r="F2" s="601"/>
      <c r="G2" s="601"/>
      <c r="H2" s="601"/>
    </row>
    <row r="3" spans="1:8" ht="16.5" customHeight="1"/>
    <row r="4" spans="1:8" ht="45" customHeight="1">
      <c r="A4" s="602" t="s">
        <v>164</v>
      </c>
      <c r="B4" s="602" t="s">
        <v>0</v>
      </c>
      <c r="C4" s="602" t="s">
        <v>80</v>
      </c>
      <c r="D4" s="607" t="s">
        <v>679</v>
      </c>
      <c r="E4" s="607" t="s">
        <v>680</v>
      </c>
      <c r="F4" s="609" t="s">
        <v>675</v>
      </c>
      <c r="G4" s="607" t="s">
        <v>704</v>
      </c>
      <c r="H4" s="602" t="s">
        <v>81</v>
      </c>
    </row>
    <row r="5" spans="1:8" ht="52.5" customHeight="1">
      <c r="A5" s="603"/>
      <c r="B5" s="603"/>
      <c r="C5" s="603"/>
      <c r="D5" s="608"/>
      <c r="E5" s="608"/>
      <c r="F5" s="610"/>
      <c r="G5" s="608"/>
      <c r="H5" s="603"/>
    </row>
    <row r="6" spans="1:8" s="360" customFormat="1" ht="18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8" s="360" customFormat="1" ht="35.25" customHeight="1">
      <c r="A7" s="9" t="s">
        <v>123</v>
      </c>
      <c r="B7" s="9"/>
      <c r="C7" s="8"/>
      <c r="D7" s="8"/>
      <c r="E7" s="8"/>
      <c r="F7" s="8"/>
      <c r="G7" s="8"/>
      <c r="H7" s="8"/>
    </row>
    <row r="8" spans="1:8" ht="66" customHeight="1">
      <c r="A8" s="20" t="s">
        <v>317</v>
      </c>
      <c r="B8" s="313">
        <v>5000</v>
      </c>
      <c r="C8" s="10" t="s">
        <v>184</v>
      </c>
      <c r="D8" s="511">
        <f>('Осн. фін. пок.'!C53/'Осн. фін. пок.'!C51)*100</f>
        <v>10.1</v>
      </c>
      <c r="E8" s="511">
        <f>('Осн. фін. пок.'!D53/'Осн. фін. пок.'!D51)*100</f>
        <v>14.9</v>
      </c>
      <c r="F8" s="511">
        <f>('Осн. фін. пок.'!E53/'Осн. фін. пок.'!E51)*100</f>
        <v>14.9</v>
      </c>
      <c r="G8" s="511">
        <f>('Осн. фін. пок.'!F53/'Осн. фін. пок.'!F51)*100</f>
        <v>12.2</v>
      </c>
      <c r="H8" s="11"/>
    </row>
    <row r="9" spans="1:8" ht="66" customHeight="1">
      <c r="A9" s="20" t="s">
        <v>318</v>
      </c>
      <c r="B9" s="313">
        <v>5010</v>
      </c>
      <c r="C9" s="10" t="s">
        <v>184</v>
      </c>
      <c r="D9" s="511">
        <f>('Осн. фін. пок.'!C59/'Осн. фін. пок.'!C51)*100</f>
        <v>8.6999999999999993</v>
      </c>
      <c r="E9" s="511">
        <f>('Осн. фін. пок.'!D59/'Осн. фін. пок.'!D51)*100</f>
        <v>12.1</v>
      </c>
      <c r="F9" s="511">
        <f>('Осн. фін. пок.'!E59/'Осн. фін. пок.'!E51)*100</f>
        <v>12.1</v>
      </c>
      <c r="G9" s="511">
        <f>('Осн. фін. пок.'!F59/'Осн. фін. пок.'!F51)*100</f>
        <v>8</v>
      </c>
      <c r="H9" s="11"/>
    </row>
    <row r="10" spans="1:8" ht="51" customHeight="1">
      <c r="A10" s="361" t="s">
        <v>320</v>
      </c>
      <c r="B10" s="313">
        <v>5020</v>
      </c>
      <c r="C10" s="10" t="s">
        <v>184</v>
      </c>
      <c r="D10" s="511">
        <f>('Осн. фін. пок.'!C72/'Осн. фін. пок.'!C103)*100</f>
        <v>3.4</v>
      </c>
      <c r="E10" s="511">
        <f>('Осн. фін. пок.'!D72/'Осн. фін. пок.'!D103)*100</f>
        <v>8.9</v>
      </c>
      <c r="F10" s="511">
        <f>('Осн. фін. пок.'!E72/'Осн. фін. пок.'!E103)*100</f>
        <v>8.9</v>
      </c>
      <c r="G10" s="511">
        <f>('Осн. фін. пок.'!F72/'Осн. фін. пок.'!F103)*100</f>
        <v>6.2</v>
      </c>
      <c r="H10" s="11" t="s">
        <v>185</v>
      </c>
    </row>
    <row r="11" spans="1:8" ht="51" customHeight="1">
      <c r="A11" s="361" t="s">
        <v>398</v>
      </c>
      <c r="B11" s="313">
        <v>5030</v>
      </c>
      <c r="C11" s="10" t="s">
        <v>184</v>
      </c>
      <c r="D11" s="511">
        <f>('Осн. фін. пок.'!C72/'Осн. фін. пок.'!C104)*100</f>
        <v>5.6</v>
      </c>
      <c r="E11" s="511">
        <f>('Осн. фін. пок.'!D72/'Осн. фін. пок.'!D104)*100</f>
        <v>10.199999999999999</v>
      </c>
      <c r="F11" s="511">
        <f>('Осн. фін. пок.'!E72/'Осн. фін. пок.'!E104)*100</f>
        <v>10.199999999999999</v>
      </c>
      <c r="G11" s="511">
        <f>('Осн. фін. пок.'!F72/'Осн. фін. пок.'!F104)*100</f>
        <v>6.7</v>
      </c>
      <c r="H11" s="11"/>
    </row>
    <row r="12" spans="1:8" ht="60" customHeight="1">
      <c r="A12" s="361" t="s">
        <v>319</v>
      </c>
      <c r="B12" s="313">
        <v>5040</v>
      </c>
      <c r="C12" s="10" t="s">
        <v>184</v>
      </c>
      <c r="D12" s="511">
        <f>('Осн. фін. пок.'!C72/'Осн. фін. пок.'!C51)*100</f>
        <v>2.2999999999999998</v>
      </c>
      <c r="E12" s="511">
        <f>('Осн. фін. пок.'!D72/'Осн. фін. пок.'!D51)*100</f>
        <v>5.7</v>
      </c>
      <c r="F12" s="511">
        <f>('Осн. фін. пок.'!E72/'Осн. фін. пок.'!E51)*100</f>
        <v>5.7</v>
      </c>
      <c r="G12" s="511">
        <f>('Осн. фін. пок.'!F72/'Осн. фін. пок.'!F51)*100</f>
        <v>3.4</v>
      </c>
      <c r="H12" s="11" t="s">
        <v>186</v>
      </c>
    </row>
    <row r="13" spans="1:8" ht="38.25" customHeight="1">
      <c r="A13" s="9" t="s">
        <v>125</v>
      </c>
      <c r="B13" s="313"/>
      <c r="C13" s="12"/>
      <c r="D13" s="511"/>
      <c r="E13" s="511"/>
      <c r="F13" s="511"/>
      <c r="G13" s="511"/>
      <c r="H13" s="11"/>
    </row>
    <row r="14" spans="1:8" ht="65.25" customHeight="1">
      <c r="A14" s="362" t="s">
        <v>399</v>
      </c>
      <c r="B14" s="313">
        <v>5100</v>
      </c>
      <c r="C14" s="10"/>
      <c r="D14" s="511">
        <f>('Осн. фін. пок.'!C105+'Осн. фін. пок.'!C106)/'Осн. фін. пок.'!C59</f>
        <v>2.9</v>
      </c>
      <c r="E14" s="511">
        <f>('Осн. фін. пок.'!D105+'Осн. фін. пок.'!D106)/'Осн. фін. пок.'!D59</f>
        <v>0.7</v>
      </c>
      <c r="F14" s="511">
        <f>('Осн. фін. пок.'!E105+'Осн. фін. пок.'!E106)/'Осн. фін. пок.'!E59</f>
        <v>0.7</v>
      </c>
      <c r="G14" s="511">
        <f>('Осн. фін. пок.'!F105+'Осн. фін. пок.'!F106)/'Осн. фін. пок.'!F59</f>
        <v>0.5</v>
      </c>
      <c r="H14" s="11"/>
    </row>
    <row r="15" spans="1:8" s="360" customFormat="1" ht="66" customHeight="1">
      <c r="A15" s="362" t="s">
        <v>400</v>
      </c>
      <c r="B15" s="313">
        <v>5110</v>
      </c>
      <c r="C15" s="10" t="s">
        <v>120</v>
      </c>
      <c r="D15" s="511">
        <f>'Осн. фін. пок.'!C104/('Осн. фін. пок.'!C105+'Осн. фін. пок.'!C106)</f>
        <v>1.6</v>
      </c>
      <c r="E15" s="511">
        <f>'Осн. фін. пок.'!D104/('Осн. фін. пок.'!D105+'Осн. фін. пок.'!D106)</f>
        <v>7</v>
      </c>
      <c r="F15" s="511">
        <f>'Осн. фін. пок.'!E104/('Осн. фін. пок.'!E105+'Осн. фін. пок.'!E106)</f>
        <v>7</v>
      </c>
      <c r="G15" s="511">
        <f>'Осн. фін. пок.'!F104/('Осн. фін. пок.'!F105+'Осн. фін. пок.'!F106)</f>
        <v>13.3</v>
      </c>
      <c r="H15" s="11" t="s">
        <v>187</v>
      </c>
    </row>
    <row r="16" spans="1:8" s="360" customFormat="1" ht="62.25" customHeight="1">
      <c r="A16" s="362" t="s">
        <v>401</v>
      </c>
      <c r="B16" s="313">
        <v>5120</v>
      </c>
      <c r="C16" s="10" t="s">
        <v>120</v>
      </c>
      <c r="D16" s="511">
        <f>'Осн. фін. пок.'!C101/'Осн. фін. пок.'!C106</f>
        <v>1.4</v>
      </c>
      <c r="E16" s="511">
        <f>'Осн. фін. пок.'!D101/'Осн. фін. пок.'!D106</f>
        <v>8.1</v>
      </c>
      <c r="F16" s="511">
        <f>'Осн. фін. пок.'!E101/'Осн. фін. пок.'!E106</f>
        <v>9.5</v>
      </c>
      <c r="G16" s="511">
        <f>'Осн. фін. пок.'!F101/'Осн. фін. пок.'!F106</f>
        <v>13</v>
      </c>
      <c r="H16" s="11" t="s">
        <v>189</v>
      </c>
    </row>
    <row r="17" spans="1:10" ht="33.75" customHeight="1">
      <c r="A17" s="9" t="s">
        <v>124</v>
      </c>
      <c r="B17" s="313"/>
      <c r="C17" s="10"/>
      <c r="D17" s="511"/>
      <c r="E17" s="511"/>
      <c r="F17" s="511"/>
      <c r="G17" s="511"/>
      <c r="H17" s="11"/>
    </row>
    <row r="18" spans="1:10" ht="52.5" customHeight="1">
      <c r="A18" s="362" t="s">
        <v>309</v>
      </c>
      <c r="B18" s="313">
        <v>5200</v>
      </c>
      <c r="C18" s="10"/>
      <c r="D18" s="511">
        <f>'IV. Кап. інвестиції'!C7/'I. Фін результат'!C93</f>
        <v>0.2</v>
      </c>
      <c r="E18" s="512">
        <f>'IV. Кап. інвестиції'!D7/'I. Фін результат'!D93</f>
        <v>0</v>
      </c>
      <c r="F18" s="512">
        <f>'IV. Кап. інвестиції'!E7/'I. Фін результат'!E93</f>
        <v>0</v>
      </c>
      <c r="G18" s="512">
        <f>'IV. Кап. інвестиції'!F7/'I. Фін результат'!F93</f>
        <v>0</v>
      </c>
      <c r="H18" s="11"/>
    </row>
    <row r="19" spans="1:10" ht="83.25" customHeight="1">
      <c r="A19" s="362" t="s">
        <v>310</v>
      </c>
      <c r="B19" s="313">
        <v>5210</v>
      </c>
      <c r="C19" s="10"/>
      <c r="D19" s="485">
        <f>'Осн. фін. пок.'!C89/'Осн. фін. пок.'!C51</f>
        <v>0</v>
      </c>
      <c r="E19" s="485">
        <f>'Осн. фін. пок.'!D89/'Осн. фін. пок.'!D51</f>
        <v>0</v>
      </c>
      <c r="F19" s="485">
        <f>'Осн. фін. пок.'!E89/'Осн. фін. пок.'!E51</f>
        <v>0</v>
      </c>
      <c r="G19" s="485">
        <f>'Осн. фін. пок.'!F89/'Осн. фін. пок.'!F51</f>
        <v>0</v>
      </c>
      <c r="H19" s="11"/>
    </row>
    <row r="20" spans="1:10" ht="55.5" customHeight="1">
      <c r="A20" s="362" t="s">
        <v>311</v>
      </c>
      <c r="B20" s="313">
        <v>5220</v>
      </c>
      <c r="C20" s="10" t="s">
        <v>269</v>
      </c>
      <c r="D20" s="511">
        <f>'Осн. фін. пок.'!C100/'Осн. фін. пок.'!C99</f>
        <v>0.4</v>
      </c>
      <c r="E20" s="511">
        <f>'Осн. фін. пок.'!D100/'Осн. фін. пок.'!D99</f>
        <v>0.5</v>
      </c>
      <c r="F20" s="511">
        <f>'Осн. фін. пок.'!E100/'Осн. фін. пок.'!E99</f>
        <v>0.5</v>
      </c>
      <c r="G20" s="511">
        <f>'Осн. фін. пок.'!F100/'Осн. фін. пок.'!F99</f>
        <v>0.6</v>
      </c>
      <c r="H20" s="11" t="s">
        <v>188</v>
      </c>
    </row>
    <row r="21" spans="1:10" ht="34.5" customHeight="1">
      <c r="A21" s="9" t="s">
        <v>170</v>
      </c>
      <c r="B21" s="313"/>
      <c r="C21" s="10"/>
      <c r="D21" s="118"/>
      <c r="E21" s="118"/>
      <c r="F21" s="118"/>
      <c r="G21" s="118"/>
      <c r="H21" s="11"/>
    </row>
    <row r="22" spans="1:10" ht="61.5" customHeight="1">
      <c r="A22" s="361" t="s">
        <v>195</v>
      </c>
      <c r="B22" s="313">
        <v>5300</v>
      </c>
      <c r="C22" s="10"/>
      <c r="D22" s="118"/>
      <c r="E22" s="118"/>
      <c r="F22" s="118"/>
      <c r="G22" s="118"/>
      <c r="H22" s="11"/>
    </row>
    <row r="23" spans="1:10" ht="14.25" customHeight="1"/>
    <row r="24" spans="1:10" ht="14.25" customHeight="1"/>
    <row r="25" spans="1:10" ht="20.100000000000001" customHeight="1">
      <c r="I25" s="471"/>
      <c r="J25" s="471"/>
    </row>
    <row r="26" spans="1:10" s="16" customFormat="1" ht="20.100000000000001" customHeight="1">
      <c r="A26" s="363" t="s">
        <v>574</v>
      </c>
      <c r="B26" s="364"/>
      <c r="C26" s="345"/>
      <c r="D26" s="604" t="s">
        <v>84</v>
      </c>
      <c r="E26" s="605"/>
      <c r="F26" s="605"/>
      <c r="G26" s="605"/>
      <c r="H26" s="365" t="s">
        <v>702</v>
      </c>
      <c r="I26" s="343"/>
      <c r="J26" s="343"/>
    </row>
    <row r="27" spans="1:10" s="368" customFormat="1" ht="20.100000000000001" customHeight="1">
      <c r="A27" s="309" t="s">
        <v>68</v>
      </c>
      <c r="B27" s="366"/>
      <c r="C27" s="150"/>
      <c r="D27" s="606" t="s">
        <v>69</v>
      </c>
      <c r="E27" s="606"/>
      <c r="F27" s="606"/>
      <c r="G27" s="606"/>
      <c r="H27" s="308" t="s">
        <v>161</v>
      </c>
      <c r="I27" s="367"/>
      <c r="J27" s="367"/>
    </row>
  </sheetData>
  <sheetProtection algorithmName="SHA-512" hashValue="ZT3dyqmXtrl25Z/UPrne+D62/WcEurHBambPMmZtA8haaOpH/64a1xy9nkWUGwHmcR5P3cI+YivXROMPYzkjnQ==" saltValue="l8g1xPQsaxGQJ9yFdNworQ==" spinCount="100000" sheet="1" objects="1" scenarios="1" selectLockedCells="1" selectUnlockedCells="1"/>
  <mergeCells count="11">
    <mergeCell ref="A2:H2"/>
    <mergeCell ref="H4:H5"/>
    <mergeCell ref="D26:G26"/>
    <mergeCell ref="D27:G27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59055118110236227" header="0.47244094488188981" footer="0.31496062992125984"/>
  <pageSetup paperSize="9" scale="43" orientation="landscape" r:id="rId1"/>
  <headerFooter alignWithMargins="0"/>
  <ignoredErrors>
    <ignoredError sqref="D8:D10 G17 E17:F17 G13 E13:F13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21</vt:i4>
      </vt:variant>
    </vt:vector>
  </HeadingPairs>
  <TitlesOfParts>
    <vt:vector size="36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кредити</vt:lpstr>
      <vt:lpstr>Аналіз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Руху'!Заголовки_для_печати</vt:lpstr>
      <vt:lpstr>'Розшифровка до Формування'!Заголовки_для_печати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Аналіз!Область_печати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  <vt:lpstr>'Розшифровка статутний'!Область_печати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2022-12-27T07:03:10Z</cp:lastPrinted>
  <dcterms:created xsi:type="dcterms:W3CDTF">2003-03-13T16:00:22Z</dcterms:created>
  <dcterms:modified xsi:type="dcterms:W3CDTF">2026-01-22T11:35:49Z</dcterms:modified>
</cp:coreProperties>
</file>